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akgen.sharepoint.com/sites/PeakGen/Shared Documents/Commercial/CMP 315/Papers/"/>
    </mc:Choice>
  </mc:AlternateContent>
  <xr:revisionPtr revIDLastSave="286" documentId="8_{1944715B-1E6B-4129-AAEF-4F1AA42BD624}" xr6:coauthVersionLast="47" xr6:coauthVersionMax="47" xr10:uidLastSave="{0BC86CA3-0CEF-4D7C-B52A-64481396002E}"/>
  <bookViews>
    <workbookView xWindow="1515" yWindow="1515" windowWidth="38700" windowHeight="15345" activeTab="3" xr2:uid="{1A94F227-DC5A-4D38-82E6-7F982A00A343}"/>
  </bookViews>
  <sheets>
    <sheet name="MWkm weighting" sheetId="1" r:id="rId1"/>
    <sheet name="MW.km.years weighting" sheetId="2" r:id="rId2"/>
    <sheet name="MW.km.years asset life" sheetId="4" r:id="rId3"/>
    <sheet name="CMP 315 Original" sheetId="5" r:id="rId4"/>
    <sheet name="Rectangles" sheetId="6" r:id="rId5"/>
    <sheet name="Constants" sheetId="3" r:id="rId6"/>
  </sheets>
  <definedNames>
    <definedName name="Assumed_Asset_Life__years">'MWkm weighting'!$Q$10</definedName>
    <definedName name="MEA_Cost" localSheetId="3">'CMP 315 Original'!#REF!</definedName>
    <definedName name="MEA_Cost" localSheetId="2">'MW.km.years asset life'!$AA$7</definedName>
    <definedName name="MEA_Cost" localSheetId="1">'MW.km.years weighting'!$S$7</definedName>
    <definedName name="MEA_Cost">'MWkm weighting'!$Q$7</definedName>
    <definedName name="MEA_Cost2">Rectangles!$AC$7</definedName>
    <definedName name="Overheads">Constants!$C$3</definedName>
    <definedName name="WACC">Constants!$C$2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5" l="1"/>
  <c r="M36" i="5"/>
  <c r="L36" i="5"/>
  <c r="J36" i="5"/>
  <c r="I36" i="5"/>
  <c r="O36" i="5" s="1"/>
  <c r="M35" i="5"/>
  <c r="L35" i="5"/>
  <c r="J35" i="5"/>
  <c r="K35" i="5" s="1"/>
  <c r="N35" i="5" s="1"/>
  <c r="I35" i="5"/>
  <c r="O35" i="5" s="1"/>
  <c r="M34" i="5"/>
  <c r="L34" i="5"/>
  <c r="J34" i="5"/>
  <c r="I34" i="5"/>
  <c r="O34" i="5" s="1"/>
  <c r="M33" i="5"/>
  <c r="L33" i="5"/>
  <c r="J33" i="5"/>
  <c r="I33" i="5"/>
  <c r="O33" i="5" s="1"/>
  <c r="M32" i="5"/>
  <c r="L32" i="5"/>
  <c r="J32" i="5"/>
  <c r="I32" i="5"/>
  <c r="O32" i="5" s="1"/>
  <c r="M24" i="5"/>
  <c r="L24" i="5"/>
  <c r="I24" i="5"/>
  <c r="J24" i="5"/>
  <c r="M23" i="5"/>
  <c r="L23" i="5"/>
  <c r="J23" i="5"/>
  <c r="I23" i="5"/>
  <c r="O23" i="5" s="1"/>
  <c r="M22" i="5"/>
  <c r="L22" i="5"/>
  <c r="J22" i="5"/>
  <c r="I22" i="5"/>
  <c r="O22" i="5" s="1"/>
  <c r="M21" i="5"/>
  <c r="L21" i="5"/>
  <c r="J21" i="5"/>
  <c r="I21" i="5"/>
  <c r="O21" i="5" s="1"/>
  <c r="M20" i="5"/>
  <c r="L20" i="5"/>
  <c r="J20" i="5"/>
  <c r="I20" i="5"/>
  <c r="K20" i="5" s="1"/>
  <c r="N20" i="5" s="1"/>
  <c r="P20" i="5" s="1"/>
  <c r="K11" i="5"/>
  <c r="N11" i="5" s="1"/>
  <c r="J12" i="5"/>
  <c r="J11" i="5"/>
  <c r="J10" i="5"/>
  <c r="K10" i="5" s="1"/>
  <c r="N10" i="5" s="1"/>
  <c r="J9" i="5"/>
  <c r="K9" i="5" s="1"/>
  <c r="N9" i="5" s="1"/>
  <c r="J8" i="5"/>
  <c r="K8" i="5" s="1"/>
  <c r="N8" i="5" s="1"/>
  <c r="J7" i="5"/>
  <c r="K6" i="5"/>
  <c r="N6" i="5" s="1"/>
  <c r="J6" i="5"/>
  <c r="I6" i="5"/>
  <c r="I10" i="5"/>
  <c r="I7" i="5"/>
  <c r="K7" i="5" s="1"/>
  <c r="N7" i="5" s="1"/>
  <c r="I8" i="5"/>
  <c r="I9" i="5"/>
  <c r="O9" i="5" s="1"/>
  <c r="I11" i="5"/>
  <c r="I12" i="5"/>
  <c r="O12" i="5" s="1"/>
  <c r="U10" i="6"/>
  <c r="U11" i="6"/>
  <c r="V12" i="6"/>
  <c r="T12" i="6"/>
  <c r="T11" i="6"/>
  <c r="T10" i="6"/>
  <c r="T9" i="6"/>
  <c r="T8" i="6"/>
  <c r="V8" i="6" s="1"/>
  <c r="X8" i="6" s="1"/>
  <c r="T7" i="6"/>
  <c r="T6" i="6"/>
  <c r="V7" i="6"/>
  <c r="X7" i="6" s="1"/>
  <c r="W12" i="6"/>
  <c r="U12" i="6"/>
  <c r="Q12" i="6"/>
  <c r="R12" i="6" s="1"/>
  <c r="S12" i="6" s="1"/>
  <c r="O12" i="6"/>
  <c r="M12" i="6"/>
  <c r="L12" i="6"/>
  <c r="I12" i="6"/>
  <c r="J12" i="6" s="1"/>
  <c r="K12" i="6" s="1"/>
  <c r="N12" i="6" s="1"/>
  <c r="P12" i="6" s="1"/>
  <c r="W11" i="6"/>
  <c r="Q11" i="6"/>
  <c r="R11" i="6" s="1"/>
  <c r="S11" i="6" s="1"/>
  <c r="O11" i="6"/>
  <c r="N11" i="6"/>
  <c r="P11" i="6" s="1"/>
  <c r="M11" i="6"/>
  <c r="L11" i="6"/>
  <c r="K11" i="6"/>
  <c r="I11" i="6"/>
  <c r="J11" i="6" s="1"/>
  <c r="W10" i="6"/>
  <c r="Q10" i="6"/>
  <c r="R10" i="6" s="1"/>
  <c r="S10" i="6" s="1"/>
  <c r="O10" i="6"/>
  <c r="M10" i="6"/>
  <c r="L10" i="6"/>
  <c r="I10" i="6"/>
  <c r="J10" i="6" s="1"/>
  <c r="K10" i="6" s="1"/>
  <c r="N10" i="6" s="1"/>
  <c r="P10" i="6" s="1"/>
  <c r="W9" i="6"/>
  <c r="V9" i="6"/>
  <c r="X9" i="6" s="1"/>
  <c r="U9" i="6"/>
  <c r="S9" i="6"/>
  <c r="Q9" i="6"/>
  <c r="R9" i="6" s="1"/>
  <c r="O9" i="6"/>
  <c r="M9" i="6"/>
  <c r="L9" i="6"/>
  <c r="I9" i="6"/>
  <c r="J9" i="6" s="1"/>
  <c r="K9" i="6" s="1"/>
  <c r="N9" i="6" s="1"/>
  <c r="P9" i="6" s="1"/>
  <c r="W8" i="6"/>
  <c r="U8" i="6"/>
  <c r="S8" i="6"/>
  <c r="Q8" i="6"/>
  <c r="R8" i="6" s="1"/>
  <c r="O8" i="6"/>
  <c r="M8" i="6"/>
  <c r="L8" i="6"/>
  <c r="I8" i="6"/>
  <c r="J8" i="6" s="1"/>
  <c r="K8" i="6" s="1"/>
  <c r="N8" i="6" s="1"/>
  <c r="P8" i="6" s="1"/>
  <c r="W7" i="6"/>
  <c r="U7" i="6"/>
  <c r="S7" i="6"/>
  <c r="Q7" i="6"/>
  <c r="R7" i="6" s="1"/>
  <c r="O7" i="6"/>
  <c r="M7" i="6"/>
  <c r="L7" i="6"/>
  <c r="I7" i="6"/>
  <c r="J7" i="6" s="1"/>
  <c r="K7" i="6" s="1"/>
  <c r="N7" i="6" s="1"/>
  <c r="P7" i="6" s="1"/>
  <c r="S6" i="6"/>
  <c r="K6" i="6"/>
  <c r="J6" i="6"/>
  <c r="R6" i="6"/>
  <c r="Q6" i="6"/>
  <c r="U6" i="6"/>
  <c r="M6" i="6"/>
  <c r="L6" i="6"/>
  <c r="I6" i="6"/>
  <c r="Q6" i="4"/>
  <c r="L12" i="5"/>
  <c r="L11" i="5"/>
  <c r="L10" i="5"/>
  <c r="L9" i="5"/>
  <c r="L8" i="5"/>
  <c r="L7" i="5"/>
  <c r="L6" i="5"/>
  <c r="R12" i="4"/>
  <c r="R11" i="4"/>
  <c r="R10" i="4"/>
  <c r="R9" i="4"/>
  <c r="R8" i="4"/>
  <c r="R7" i="4"/>
  <c r="R6" i="4"/>
  <c r="K12" i="2"/>
  <c r="K11" i="2"/>
  <c r="K10" i="2"/>
  <c r="K9" i="2"/>
  <c r="K8" i="2"/>
  <c r="K7" i="2"/>
  <c r="K6" i="2"/>
  <c r="M12" i="5"/>
  <c r="M11" i="5"/>
  <c r="M10" i="5"/>
  <c r="M9" i="5"/>
  <c r="M8" i="5"/>
  <c r="M7" i="5"/>
  <c r="M6" i="5"/>
  <c r="U12" i="4"/>
  <c r="U11" i="4"/>
  <c r="U10" i="4"/>
  <c r="U9" i="4"/>
  <c r="U8" i="4"/>
  <c r="U7" i="4"/>
  <c r="U6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S12" i="4"/>
  <c r="P12" i="4"/>
  <c r="S11" i="4"/>
  <c r="P11" i="4"/>
  <c r="S10" i="4"/>
  <c r="P10" i="4"/>
  <c r="S9" i="4"/>
  <c r="Q9" i="4"/>
  <c r="P9" i="4"/>
  <c r="S8" i="4"/>
  <c r="Q8" i="4"/>
  <c r="P8" i="4"/>
  <c r="S7" i="4"/>
  <c r="Q7" i="4"/>
  <c r="P7" i="4"/>
  <c r="S6" i="4"/>
  <c r="P6" i="4"/>
  <c r="L12" i="2"/>
  <c r="L11" i="2"/>
  <c r="L10" i="2"/>
  <c r="L9" i="2"/>
  <c r="L8" i="2"/>
  <c r="L7" i="2"/>
  <c r="L6" i="2"/>
  <c r="I12" i="2"/>
  <c r="I11" i="2"/>
  <c r="I10" i="2"/>
  <c r="I9" i="2"/>
  <c r="I8" i="2"/>
  <c r="I7" i="2"/>
  <c r="I6" i="2"/>
  <c r="Q13" i="1"/>
  <c r="Q12" i="1"/>
  <c r="Q11" i="1"/>
  <c r="J9" i="2"/>
  <c r="J8" i="2"/>
  <c r="J7" i="2"/>
  <c r="M7" i="2" s="1"/>
  <c r="J6" i="2"/>
  <c r="I6" i="1"/>
  <c r="I12" i="1"/>
  <c r="I11" i="1"/>
  <c r="I10" i="1"/>
  <c r="I9" i="1"/>
  <c r="I8" i="1"/>
  <c r="I7" i="1"/>
  <c r="J7" i="1"/>
  <c r="J8" i="1"/>
  <c r="J9" i="1"/>
  <c r="J6" i="1"/>
  <c r="K34" i="5" l="1"/>
  <c r="N34" i="5" s="1"/>
  <c r="P34" i="5" s="1"/>
  <c r="K33" i="5"/>
  <c r="N33" i="5" s="1"/>
  <c r="P33" i="5" s="1"/>
  <c r="O38" i="5"/>
  <c r="K32" i="5"/>
  <c r="N32" i="5" s="1"/>
  <c r="P32" i="5" s="1"/>
  <c r="K36" i="5"/>
  <c r="N36" i="5" s="1"/>
  <c r="P36" i="5" s="1"/>
  <c r="P35" i="5"/>
  <c r="K12" i="5"/>
  <c r="N12" i="5" s="1"/>
  <c r="P12" i="5" s="1"/>
  <c r="K24" i="5"/>
  <c r="N24" i="5" s="1"/>
  <c r="P24" i="5" s="1"/>
  <c r="O24" i="5"/>
  <c r="O26" i="5"/>
  <c r="O20" i="5"/>
  <c r="K23" i="5"/>
  <c r="N23" i="5" s="1"/>
  <c r="P23" i="5" s="1"/>
  <c r="K22" i="5"/>
  <c r="N22" i="5" s="1"/>
  <c r="P22" i="5" s="1"/>
  <c r="K21" i="5"/>
  <c r="N21" i="5" s="1"/>
  <c r="P21" i="5" s="1"/>
  <c r="O8" i="5"/>
  <c r="O6" i="5"/>
  <c r="V10" i="6"/>
  <c r="X10" i="6" s="1"/>
  <c r="O10" i="5"/>
  <c r="P8" i="5"/>
  <c r="W15" i="6"/>
  <c r="X12" i="6"/>
  <c r="V11" i="6"/>
  <c r="X11" i="6" s="1"/>
  <c r="N6" i="6"/>
  <c r="P6" i="6" s="1"/>
  <c r="V6" i="6"/>
  <c r="X6" i="6" s="1"/>
  <c r="O6" i="6"/>
  <c r="W6" i="6"/>
  <c r="M8" i="2"/>
  <c r="P6" i="5"/>
  <c r="P9" i="5"/>
  <c r="P7" i="5"/>
  <c r="P11" i="5"/>
  <c r="M9" i="2"/>
  <c r="O11" i="5"/>
  <c r="O7" i="5"/>
  <c r="M6" i="2"/>
  <c r="AA7" i="4"/>
  <c r="T8" i="4"/>
  <c r="V8" i="4" s="1"/>
  <c r="T7" i="4"/>
  <c r="V7" i="4" s="1"/>
  <c r="T9" i="4"/>
  <c r="V9" i="4" s="1"/>
  <c r="T6" i="4"/>
  <c r="V6" i="4" s="1"/>
  <c r="S7" i="2"/>
  <c r="J12" i="2" s="1"/>
  <c r="M12" i="2" s="1"/>
  <c r="Q7" i="1"/>
  <c r="J12" i="1" s="1"/>
  <c r="P38" i="5" l="1"/>
  <c r="P39" i="5" s="1"/>
  <c r="P26" i="5"/>
  <c r="P27" i="5"/>
  <c r="O14" i="5"/>
  <c r="X15" i="6"/>
  <c r="P10" i="5"/>
  <c r="P14" i="5" s="1"/>
  <c r="J8" i="4"/>
  <c r="J6" i="4"/>
  <c r="J12" i="4"/>
  <c r="J10" i="4"/>
  <c r="J9" i="4"/>
  <c r="J7" i="4"/>
  <c r="J11" i="4"/>
  <c r="Q12" i="4"/>
  <c r="T12" i="4" s="1"/>
  <c r="V12" i="4" s="1"/>
  <c r="Q11" i="4"/>
  <c r="T11" i="4" s="1"/>
  <c r="V11" i="4" s="1"/>
  <c r="Q10" i="4"/>
  <c r="T10" i="4" s="1"/>
  <c r="V10" i="4" s="1"/>
  <c r="J10" i="2"/>
  <c r="J11" i="2"/>
  <c r="M11" i="2" s="1"/>
  <c r="J11" i="1"/>
  <c r="J14" i="1" s="1"/>
  <c r="D16" i="1" s="1"/>
  <c r="J10" i="1"/>
  <c r="X16" i="6" l="1"/>
  <c r="C16" i="4"/>
  <c r="M11" i="4"/>
  <c r="I11" i="4"/>
  <c r="I7" i="4"/>
  <c r="N7" i="4" s="1"/>
  <c r="M7" i="4"/>
  <c r="I10" i="4"/>
  <c r="M10" i="4"/>
  <c r="I12" i="4"/>
  <c r="M12" i="4"/>
  <c r="I9" i="4"/>
  <c r="M9" i="4"/>
  <c r="I6" i="4"/>
  <c r="N6" i="4" s="1"/>
  <c r="M6" i="4"/>
  <c r="I8" i="4"/>
  <c r="N8" i="4" s="1"/>
  <c r="M8" i="4"/>
  <c r="M10" i="2"/>
  <c r="C16" i="2" s="1"/>
  <c r="N11" i="4" l="1"/>
  <c r="O11" i="4"/>
  <c r="N12" i="4"/>
  <c r="O12" i="4"/>
  <c r="N10" i="4"/>
  <c r="O10" i="4"/>
  <c r="P15" i="5"/>
  <c r="O9" i="4"/>
  <c r="N9" i="4"/>
  <c r="O8" i="4"/>
  <c r="O7" i="4"/>
  <c r="O6" i="4"/>
  <c r="V15" i="4" l="1"/>
  <c r="U15" i="4"/>
  <c r="V16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tc={4D411BE0-C319-461A-9736-F3C8E55D48EF}</author>
    <author>tc={171901C3-0FF9-492F-9CA2-1610FC1AF1E1}</author>
    <author>tc={9E51B734-B54D-4A59-BC67-5CDDE66A571A}</author>
    <author>tc={C41E08B3-22F2-419D-A9DE-CEAE0375FDC2}</author>
    <author>tc={4A7EE88A-14EF-4625-9C15-D489FB78920D}</author>
    <author>tc={C9A25D62-B89C-4FD1-810C-8E916E2AD708}</author>
  </authors>
  <commentList>
    <comment ref="E5" authorId="0" shapeId="0" xr:uid="{4D411BE0-C319-461A-9736-F3C8E55D48E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G5" authorId="1" shapeId="0" xr:uid="{171901C3-0FF9-492F-9CA2-1610FC1AF1E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B10" authorId="2" shapeId="0" xr:uid="{9E51B734-B54D-4A59-BC67-5CDDE66A571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1" authorId="3" shapeId="0" xr:uid="{C41E08B3-22F2-419D-A9DE-CEAE0375FDC2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I11" authorId="4" shapeId="0" xr:uid="{4A7EE88A-14EF-4625-9C15-D489FB78920D}">
      <text>
        <t>[Threaded comment]
Your version of Excel allows you to read this threaded comment; however, any edits to it will get removed if the file is opened in a newer version of Excel. Learn more: https://go.microsoft.com/fwlink/?linkid=870924
Comment:
    Because the incremental capacity of this reinforcement is 0, its weighting in the expansion constant is 0. This means that like for like reconductoring has no impact on cost</t>
      </text>
    </comment>
    <comment ref="B12" authorId="5" shapeId="0" xr:uid="{C9A25D62-B89C-4FD1-810C-8E916E2AD70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tc={6D097F18-F7A2-4CF1-BAA0-636D905BC5E6}</author>
    <author>tc={51F519CD-8809-40C5-A46F-DD10BC87252D}</author>
    <author>tc={1E07BDF4-744B-4591-A155-45A2545FFBE2}</author>
    <author>tc={F78E0AB2-C7BE-4AF7-A7CA-4988FBC08455}</author>
    <author>tc={F81B0084-F345-4D66-88A7-0A2F4916067B}</author>
    <author>tc={A5FC4170-AD26-4F24-9700-AB54548877CF}</author>
    <author>tc={F5CFEEB3-2939-455D-A631-32E80F037DE4}</author>
    <author>tc={6498F089-2708-40B1-B1BF-251906928D54}</author>
    <author>tc={047063AE-B908-4505-8477-0FAEE116DF83}</author>
    <author>tc={069CE03A-8E89-45AE-A92B-BDD9B9258D40}</author>
    <author>tc={CBBBF22F-EA70-47F1-AF67-0151232EF6EA}</author>
  </authors>
  <commentList>
    <comment ref="B5" authorId="0" shapeId="0" xr:uid="{6D097F18-F7A2-4CF1-BAA0-636D905BC5E6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51F519CD-8809-40C5-A46F-DD10BC87252D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1E07BDF4-744B-4591-A155-45A2545FFBE2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F78E0AB2-C7BE-4AF7-A7CA-4988FBC08455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I5" authorId="4" shapeId="0" xr:uid="{F81B0084-F345-4D66-88A7-0A2F4916067B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floors value at zero.
See diagram for illustration.</t>
      </text>
    </comment>
    <comment ref="K5" authorId="5" shapeId="0" xr:uid="{A5FC4170-AD26-4F24-9700-AB54548877CF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M5" authorId="6" shapeId="0" xr:uid="{F5CFEEB3-2939-455D-A631-32E80F037DE4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S7" authorId="7" shapeId="0" xr:uid="{6498F089-2708-40B1-B1BF-251906928D54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the event that no data was available to calculate this, then the previous year's value would be used, with CPI indexation applied</t>
      </text>
    </comment>
    <comment ref="A10" authorId="8" shapeId="0" xr:uid="{047063AE-B908-4505-8477-0FAEE116DF8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9" shapeId="0" xr:uid="{069CE03A-8E89-45AE-A92B-BDD9B9258D40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0" shapeId="0" xr:uid="{CBBBF22F-EA70-47F1-AF67-0151232EF6E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tc={C43787E3-BD3C-4608-8384-BFEF30CC8308}</author>
    <author>tc={5463A67B-6687-4CD3-889A-2E6648F573B0}</author>
    <author>tc={A667926D-E142-4A35-8E54-62FC3FD74E73}</author>
    <author>tc={8962F044-41BB-4D66-9089-87AD304F4FCF}</author>
    <author>tc={A204DF38-3CE5-41C4-9C81-9524826586CB}</author>
    <author>tc={38151133-2A1C-4678-861B-046C2DE2038B}</author>
    <author>tc={16A5F79B-6E13-47BA-A02A-D5A2867AF224}</author>
    <author>tc={D03FFDF4-FAED-44B2-AEE9-B8020B220F8E}</author>
    <author>tc={C5AAD08D-DA2C-48DD-B508-551D321769B7}</author>
    <author>tc={304A3569-0CD1-420E-BA16-413F5E28B521}</author>
    <author>tc={876AB2F1-CB39-4F9A-B09D-A36D0D2AD64A}</author>
    <author>tc={274D2B50-681C-40CA-80C2-CC7843EF5A06}</author>
    <author>tc={48666BB9-718C-459E-A73F-A32B5A6107A0}</author>
  </authors>
  <commentList>
    <comment ref="B5" authorId="0" shapeId="0" xr:uid="{C43787E3-BD3C-4608-8384-BFEF30CC8308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5463A67B-6687-4CD3-889A-2E6648F573B0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A667926D-E142-4A35-8E54-62FC3FD74E73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8962F044-41BB-4D66-9089-87AD304F4FC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K5" authorId="4" shapeId="0" xr:uid="{A204DF38-3CE5-41C4-9C81-9524826586CB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M5" authorId="5" shapeId="0" xr:uid="{38151133-2A1C-4678-861B-046C2DE2038B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P5" authorId="6" shapeId="0" xr:uid="{16A5F79B-6E13-47BA-A02A-D5A2867AF22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floors value at zero.
See diagram for illustration.</t>
      </text>
    </comment>
    <comment ref="R5" authorId="7" shapeId="0" xr:uid="{D03FFDF4-FAED-44B2-AEE9-B8020B220F8E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T5" authorId="8" shapeId="0" xr:uid="{C5AAD08D-DA2C-48DD-B508-551D321769B7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A7" authorId="9" shapeId="0" xr:uid="{304A3569-0CD1-420E-BA16-413F5E28B521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the event that no data was available to calculate this, then the previous year's value would be used, with CPI indexation applied</t>
      </text>
    </comment>
    <comment ref="A10" authorId="10" shapeId="0" xr:uid="{876AB2F1-CB39-4F9A-B09D-A36D0D2AD64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1" shapeId="0" xr:uid="{274D2B50-681C-40CA-80C2-CC7843EF5A0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2" shapeId="0" xr:uid="{48666BB9-718C-459E-A73F-A32B5A6107A0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tc={F062CDD1-C8E7-47E2-A122-9B58EC2900AC}</author>
    <author>tc={F9930EA8-1A66-4152-A1EB-9A294CB76E35}</author>
    <author>tc={6DB4692B-DC5F-4397-B2C1-2C3266484A44}</author>
    <author>tc={68DEB420-1F0B-4AAB-9169-B9E11C898273}</author>
    <author>tc={C3F8960B-C64F-4F7E-965F-63D6334B436A}</author>
    <author>tc={335218EA-5B5A-45D0-AAE8-FDF4709AFBAF}</author>
    <author>tc={ABC35FBC-E713-420C-9879-87ED80739821}</author>
    <author>tc={C076CC6B-0010-4E63-AD70-7028E0D24DD6}</author>
    <author>tc={A145B9CA-9D9D-4B53-BE11-31ACE3F947F5}</author>
    <author>tc={17277706-19F7-49E5-B19A-3C11A9D18E59}</author>
    <author>tc={83390F75-D0DD-4211-823A-6EF898E66003}</author>
    <author>tc={38E2C82F-D3CC-4A4D-AF00-030F14914510}</author>
    <author>tc={12CE6AD0-38C0-4274-A034-9111B57A8A13}</author>
    <author>tc={7DB23D3A-0A8F-4EFD-8738-3B34CD2F2811}</author>
    <author>tc={FD7C2CF3-590A-4D0E-8F78-FC875E2865AB}</author>
    <author>tc={F245E12E-4243-442E-9020-0D3E5859BEC2}</author>
    <author>tc={4405F9D7-6939-409A-A279-DFE73C365275}</author>
    <author>tc={395C0284-E1D9-4FD0-AD72-8B067A65EC4D}</author>
    <author>tc={9F93725A-A59B-4D90-B67A-56AF7395857A}</author>
    <author>tc={39A96B2A-B0D6-4649-BAC9-F942E876CF17}</author>
    <author>tc={D235C988-5164-4E8B-840A-EDC4EF8F3DEC}</author>
    <author>tc={9A7AD438-DDC3-4593-BFD0-E260F6FF12EC}</author>
    <author>tc={43F8A6AF-AE63-4E3C-9176-90FF968A9211}</author>
    <author>tc={96ADFC81-F8CA-4764-B60A-D45462ACB106}</author>
    <author>tc={34D64A8B-41BE-4517-8072-EFE788707773}</author>
    <author>tc={D9F684BA-78CF-403F-9134-4D514D6E25E4}</author>
  </authors>
  <commentList>
    <comment ref="B5" authorId="0" shapeId="0" xr:uid="{F062CDD1-C8E7-47E2-A122-9B58EC2900AC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F9930EA8-1A66-4152-A1EB-9A294CB76E35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6DB4692B-DC5F-4397-B2C1-2C3266484A44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68DEB420-1F0B-4AAB-9169-B9E11C898273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I5" authorId="4" shapeId="0" xr:uid="{C3F8960B-C64F-4F7E-965F-63D6334B436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floors value at zero.
See diagram for illustration.</t>
      </text>
    </comment>
    <comment ref="L5" authorId="5" shapeId="0" xr:uid="{335218EA-5B5A-45D0-AAE8-FDF4709AFBAF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N5" authorId="6" shapeId="0" xr:uid="{ABC35FBC-E713-420C-9879-87ED80739821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7" shapeId="0" xr:uid="{C076CC6B-0010-4E63-AD70-7028E0D24DD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8" shapeId="0" xr:uid="{A145B9CA-9D9D-4B53-BE11-31ACE3F947F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9" shapeId="0" xr:uid="{17277706-19F7-49E5-B19A-3C11A9D18E59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9" authorId="10" shapeId="0" xr:uid="{83390F75-D0DD-4211-823A-6EF898E6600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transformer is always a single item (this value is always 1)
</t>
      </text>
    </comment>
    <comment ref="D19" authorId="11" shapeId="0" xr:uid="{38E2C82F-D3CC-4A4D-AF00-030F14914510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19" authorId="12" shapeId="0" xr:uid="{12CE6AD0-38C0-4274-A034-9111B57A8A13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19" authorId="13" shapeId="0" xr:uid="{7DB23D3A-0A8F-4EFD-8738-3B34CD2F281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I19" authorId="14" shapeId="0" xr:uid="{FD7C2CF3-590A-4D0E-8F78-FC875E2865AB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floors value at zero.
See diagram for illustration.</t>
      </text>
    </comment>
    <comment ref="L19" authorId="15" shapeId="0" xr:uid="{F245E12E-4243-442E-9020-0D3E5859BEC2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N19" authorId="16" shapeId="0" xr:uid="{4405F9D7-6939-409A-A279-DFE73C365275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B31" authorId="17" shapeId="0" xr:uid="{395C0284-E1D9-4FD0-AD72-8B067A65EC4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circuit breaker is always a single item (this value is always 1)
</t>
      </text>
    </comment>
    <comment ref="D31" authorId="18" shapeId="0" xr:uid="{9F93725A-A59B-4D90-B67A-56AF7395857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build, this value is always 0 (capital expenditure is at time of build)</t>
      </text>
    </comment>
    <comment ref="E31" authorId="19" shapeId="0" xr:uid="{39A96B2A-B0D6-4649-BAC9-F942E876CF17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31" authorId="20" shapeId="0" xr:uid="{D235C988-5164-4E8B-840A-EDC4EF8F3DEC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bay, there was no circuit before the investment, therefore the inital capacity is always 0</t>
      </text>
    </comment>
    <comment ref="H31" authorId="21" shapeId="0" xr:uid="{9A7AD438-DDC3-4593-BFD0-E260F6FF12E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a substation bay, thermal capacity is not the limiting factor. To ensure proper cost recovery, the capacity is the average loading (from the transport model of a 275 kV circuit). For this example, 847 MVA is assumed
</t>
      </text>
    </comment>
    <comment ref="I31" authorId="22" shapeId="0" xr:uid="{43F8A6AF-AE63-4E3C-9176-90FF968A921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Formula floors value at zero.
See diagram for illustration.</t>
      </text>
    </comment>
    <comment ref="L31" authorId="23" shapeId="0" xr:uid="{96ADFC81-F8CA-4764-B60A-D45462ACB106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CUSC 14.15.64</t>
      </text>
    </comment>
    <comment ref="N31" authorId="24" shapeId="0" xr:uid="{34D64A8B-41BE-4517-8072-EFE788707773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G36" authorId="25" shapeId="0" xr:uid="{D9F684BA-78CF-403F-9134-4D514D6E25E4}">
      <text>
        <t>[Threaded comment]
Your version of Excel allows you to read this threaded comment; however, any edits to it will get removed if the file is opened in a newer version of Excel. Learn more: https://go.microsoft.com/fwlink/?linkid=870924
Comment:
    847 MVA used as this is the "nominal" capacity of a bay.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tc={2E493AE4-87C8-4161-87AB-8D118172CD93}</author>
    <author>tc={E67598E8-94D7-4B98-BC52-2926A8F3C56F}</author>
    <author>tc={88F17733-E222-4573-BA65-A930BB1D3C19}</author>
    <author>tc={01DC099A-791B-44D6-93A0-AC406B6C28C3}</author>
    <author>tc={D301DE26-599F-4108-A401-9A4552F3DF6D}</author>
    <author>tc={9B4C4243-387F-4366-9DBD-443CC89859AB}</author>
    <author>tc={F38D9C72-247E-4B02-93D0-E34FCA737FA7}</author>
    <author>tc={A6E7F034-B31C-4AED-9DD6-CAD9BFEE7036}</author>
    <author>tc={9C53B29D-DC6B-45A6-9575-F2050D763B38}</author>
    <author>tc={A3386034-A843-495D-B618-33566B920ECB}</author>
    <author>tc={6968C0B6-7AC5-4413-A663-FE12D5AE332B}</author>
    <author>tc={3ED3A951-846E-4BDA-A37F-216508640B79}</author>
    <author>tc={7CB8E48F-D2D3-4A12-BE62-7F675AE89EB3}</author>
    <author>tc={E566F61E-7DCC-4FEE-8B4C-17BED675850A}</author>
  </authors>
  <commentList>
    <comment ref="B5" authorId="0" shapeId="0" xr:uid="{2E493AE4-87C8-4161-87AB-8D118172CD93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E67598E8-94D7-4B98-BC52-2926A8F3C56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88F17733-E222-4573-BA65-A930BB1D3C19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01DC099A-791B-44D6-93A0-AC406B6C28C3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4" shapeId="0" xr:uid="{D301DE26-599F-4108-A401-9A4552F3DF6D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5" authorId="5" shapeId="0" xr:uid="{9B4C4243-387F-4366-9DBD-443CC89859AB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5" authorId="6" shapeId="0" xr:uid="{F38D9C72-247E-4B02-93D0-E34FCA737FA7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5" authorId="7" shapeId="0" xr:uid="{A6E7F034-B31C-4AED-9DD6-CAD9BFEE7036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5" authorId="8" shapeId="0" xr:uid="{9C53B29D-DC6B-45A6-9575-F2050D763B3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5" authorId="9" shapeId="0" xr:uid="{A3386034-A843-495D-B618-33566B920ECB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5" authorId="10" shapeId="0" xr:uid="{6968C0B6-7AC5-4413-A663-FE12D5AE332B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11" shapeId="0" xr:uid="{3ED3A951-846E-4BDA-A37F-216508640B79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2" shapeId="0" xr:uid="{7CB8E48F-D2D3-4A12-BE62-7F675AE89EB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3" shapeId="0" xr:uid="{E566F61E-7DCC-4FEE-8B4C-17BED675850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sharedStrings.xml><?xml version="1.0" encoding="utf-8"?>
<sst xmlns="http://schemas.openxmlformats.org/spreadsheetml/2006/main" count="198" uniqueCount="79">
  <si>
    <t>Length (km)</t>
  </si>
  <si>
    <t>Capital Cost (£)</t>
  </si>
  <si>
    <t>Life( years)</t>
  </si>
  <si>
    <t>New Capacity (MVA)</t>
  </si>
  <si>
    <t>Time from initial build (years)</t>
  </si>
  <si>
    <t>Initial Capacity (MVA)</t>
  </si>
  <si>
    <t>Expansion Constant</t>
  </si>
  <si>
    <t>Cost /MWkm</t>
  </si>
  <si>
    <t>Incrimental Capacity (MVA)</t>
  </si>
  <si>
    <t>New Build 1</t>
  </si>
  <si>
    <t>New Build 3</t>
  </si>
  <si>
    <t>New Build 4</t>
  </si>
  <si>
    <t>Reconductor 1</t>
  </si>
  <si>
    <t>Reconductor 2</t>
  </si>
  <si>
    <t>Reconductor 3</t>
  </si>
  <si>
    <t>New buid cost</t>
  </si>
  <si>
    <t>Implied cost of a Modern Equivilent Asset (MEA) (£/MWkm)</t>
  </si>
  <si>
    <t>using MWkm Weighting</t>
  </si>
  <si>
    <t>Initial life (years)</t>
  </si>
  <si>
    <t>Annualised Cost (GBP/MWkm)</t>
  </si>
  <si>
    <t>WACC</t>
  </si>
  <si>
    <t>Overheads</t>
  </si>
  <si>
    <t>Annualisation Factor (dimensionless)</t>
  </si>
  <si>
    <t>Cost (GBP/MWkm)</t>
  </si>
  <si>
    <t>Capital Cost (GBP)</t>
  </si>
  <si>
    <t>Incrimental MW.years</t>
  </si>
  <si>
    <t>Average (MWkm weighted)</t>
  </si>
  <si>
    <t>Annualisation Factor</t>
  </si>
  <si>
    <t>Assumed Asset Life (years)</t>
  </si>
  <si>
    <t>Overhead</t>
  </si>
  <si>
    <t>Total</t>
  </si>
  <si>
    <t>New Build 2</t>
  </si>
  <si>
    <t>Overhead (dimensionless)</t>
  </si>
  <si>
    <t>Cost (GBP/MW.km)</t>
  </si>
  <si>
    <t>Incrimental MW.years (blue area)</t>
  </si>
  <si>
    <t>Initial MW.years (yellow area)</t>
  </si>
  <si>
    <t>Incrimental Build</t>
  </si>
  <si>
    <t>Initial Build (valued as a modern equivilent asset)</t>
  </si>
  <si>
    <t>MW km years Cost (GBP)</t>
  </si>
  <si>
    <t>MW km years</t>
  </si>
  <si>
    <t>Incremental MW</t>
  </si>
  <si>
    <t>Incremental MW.years (red area)</t>
  </si>
  <si>
    <t>Incremental Life</t>
  </si>
  <si>
    <t>Incremental MW.years (blue area)</t>
  </si>
  <si>
    <t>Allocated cost to Incremental MW</t>
  </si>
  <si>
    <t>Allocated cost to Incremental life</t>
  </si>
  <si>
    <t xml:space="preserve">Overhead </t>
  </si>
  <si>
    <t>Cost per km (GBP/km)</t>
  </si>
  <si>
    <t>400/275 KV Transformer</t>
  </si>
  <si>
    <t>400 kV OHL</t>
  </si>
  <si>
    <t>Units</t>
  </si>
  <si>
    <t>Cost per unit (GBP/unit)</t>
  </si>
  <si>
    <t>Annualised Cost (GBP/MW.unit)</t>
  </si>
  <si>
    <t>MW unit years</t>
  </si>
  <si>
    <t>MW unit years Cost (GBP)</t>
  </si>
  <si>
    <t>Totals</t>
  </si>
  <si>
    <t>New Build Tx 1</t>
  </si>
  <si>
    <t>New Build Tx 2</t>
  </si>
  <si>
    <t>New Build Tx 3</t>
  </si>
  <si>
    <t>New Build Tx 4</t>
  </si>
  <si>
    <t>Life extension 1</t>
  </si>
  <si>
    <t>Expansion Constant (400 kV OHL)</t>
  </si>
  <si>
    <t>Expansion constant (400/275 Tx)</t>
  </si>
  <si>
    <t>275 kV Substation bay</t>
  </si>
  <si>
    <t>New Bay #1</t>
  </si>
  <si>
    <t>New Bay #2</t>
  </si>
  <si>
    <t>New Bay #3</t>
  </si>
  <si>
    <t>New Bay #4</t>
  </si>
  <si>
    <t>Nominal Capacity (MVA)</t>
  </si>
  <si>
    <t>Expansion constant (275 kV bay)</t>
  </si>
  <si>
    <t>Applying Geometric moving average to an expansion constant</t>
  </si>
  <si>
    <t>alpha</t>
  </si>
  <si>
    <t>Within year expansion constant (0 if no construction)</t>
  </si>
  <si>
    <t>CPI (previous year)</t>
  </si>
  <si>
    <t>CPI (current year)</t>
  </si>
  <si>
    <t>Expansion constant for previous year</t>
  </si>
  <si>
    <t>Incremental Build</t>
  </si>
  <si>
    <t>Incremental cost per km (GBP/km.MW.year)</t>
  </si>
  <si>
    <t>Incremental cost per km (GBP/unit.MW.year)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</si>
</sst>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69B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0" fillId="2" borderId="0" xfId="0" applyFill="1"/>
    <xf numFmtId="3" fontId="0" fillId="2" borderId="0" xfId="0" applyNumberFormat="1" applyFill="1"/>
    <xf numFmtId="3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2" fontId="0" fillId="0" borderId="0" xfId="0" applyNumberFormat="1" applyFill="1"/>
    <xf numFmtId="165" fontId="0" fillId="0" borderId="0" xfId="0" applyNumberFormat="1"/>
    <xf numFmtId="0" fontId="1" fillId="0" borderId="1" xfId="0" applyFont="1" applyBorder="1"/>
    <xf numFmtId="2" fontId="1" fillId="0" borderId="2" xfId="0" applyNumberFormat="1" applyFont="1" applyBorder="1"/>
    <xf numFmtId="2" fontId="1" fillId="0" borderId="2" xfId="0" applyNumberFormat="1" applyFont="1" applyFill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3" fontId="0" fillId="0" borderId="6" xfId="0" applyNumberFormat="1" applyFill="1" applyBorder="1"/>
    <xf numFmtId="3" fontId="0" fillId="0" borderId="0" xfId="0" applyNumberFormat="1" applyFill="1" applyBorder="1"/>
    <xf numFmtId="164" fontId="0" fillId="0" borderId="0" xfId="0" applyNumberFormat="1" applyBorder="1"/>
    <xf numFmtId="3" fontId="0" fillId="0" borderId="7" xfId="0" applyNumberFormat="1" applyFill="1" applyBorder="1"/>
    <xf numFmtId="3" fontId="0" fillId="0" borderId="8" xfId="0" applyNumberFormat="1" applyFill="1" applyBorder="1"/>
    <xf numFmtId="3" fontId="0" fillId="0" borderId="9" xfId="0" applyNumberFormat="1" applyFill="1" applyBorder="1"/>
    <xf numFmtId="164" fontId="0" fillId="0" borderId="9" xfId="0" applyNumberFormat="1" applyBorder="1"/>
    <xf numFmtId="3" fontId="0" fillId="0" borderId="10" xfId="0" applyNumberFormat="1" applyFill="1" applyBorder="1"/>
    <xf numFmtId="3" fontId="0" fillId="0" borderId="0" xfId="0" applyNumberFormat="1" applyBorder="1"/>
    <xf numFmtId="4" fontId="0" fillId="0" borderId="0" xfId="0" applyNumberFormat="1" applyBorder="1"/>
    <xf numFmtId="4" fontId="0" fillId="0" borderId="9" xfId="0" applyNumberFormat="1" applyBorder="1"/>
    <xf numFmtId="2" fontId="0" fillId="0" borderId="0" xfId="0" applyNumberFormat="1" applyBorder="1"/>
    <xf numFmtId="2" fontId="0" fillId="0" borderId="9" xfId="0" applyNumberFormat="1" applyBorder="1"/>
    <xf numFmtId="0" fontId="1" fillId="3" borderId="3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1" fillId="4" borderId="3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1" fillId="3" borderId="4" xfId="0" applyFont="1" applyFill="1" applyBorder="1"/>
    <xf numFmtId="0" fontId="1" fillId="4" borderId="4" xfId="0" applyFont="1" applyFill="1" applyBorder="1"/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Fill="1" applyBorder="1"/>
    <xf numFmtId="43" fontId="1" fillId="0" borderId="0" xfId="1" applyFont="1"/>
    <xf numFmtId="166" fontId="0" fillId="0" borderId="0" xfId="0" applyNumberFormat="1"/>
    <xf numFmtId="3" fontId="0" fillId="0" borderId="9" xfId="0" applyNumberFormat="1" applyBorder="1"/>
    <xf numFmtId="166" fontId="0" fillId="0" borderId="0" xfId="0" applyNumberFormat="1" applyBorder="1"/>
    <xf numFmtId="166" fontId="0" fillId="0" borderId="9" xfId="0" applyNumberFormat="1" applyBorder="1"/>
    <xf numFmtId="0" fontId="0" fillId="0" borderId="0" xfId="0" applyFill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1" xfId="0" applyBorder="1"/>
    <xf numFmtId="0" fontId="1" fillId="0" borderId="2" xfId="0" applyFont="1" applyBorder="1"/>
    <xf numFmtId="0" fontId="1" fillId="0" borderId="11" xfId="0" applyFont="1" applyBorder="1"/>
    <xf numFmtId="0" fontId="0" fillId="0" borderId="1" xfId="0" applyBorder="1"/>
    <xf numFmtId="2" fontId="0" fillId="0" borderId="2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9B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14</xdr:row>
      <xdr:rowOff>0</xdr:rowOff>
    </xdr:from>
    <xdr:to>
      <xdr:col>15</xdr:col>
      <xdr:colOff>457200</xdr:colOff>
      <xdr:row>36</xdr:row>
      <xdr:rowOff>73025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D52FD41B-607B-13E3-1BF2-98191B92F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934200" y="3238500"/>
          <a:ext cx="7620000" cy="428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24</xdr:row>
      <xdr:rowOff>0</xdr:rowOff>
    </xdr:from>
    <xdr:to>
      <xdr:col>14</xdr:col>
      <xdr:colOff>44450</xdr:colOff>
      <xdr:row>46</xdr:row>
      <xdr:rowOff>95250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23C6B6C9-A649-4C19-B6ED-4351FAD25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296025" y="5162550"/>
          <a:ext cx="7620000" cy="428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48</xdr:row>
      <xdr:rowOff>57150</xdr:rowOff>
    </xdr:from>
    <xdr:to>
      <xdr:col>14</xdr:col>
      <xdr:colOff>371475</xdr:colOff>
      <xdr:row>70</xdr:row>
      <xdr:rowOff>133350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39CD359A-39AE-419F-9AD5-1070280F3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619875" y="10572750"/>
          <a:ext cx="7620000" cy="428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26</xdr:row>
      <xdr:rowOff>101600</xdr:rowOff>
    </xdr:from>
    <xdr:to>
      <xdr:col>19</xdr:col>
      <xdr:colOff>409575</xdr:colOff>
      <xdr:row>49</xdr:row>
      <xdr:rowOff>12700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67AC1D51-258F-4682-ADA5-3FDD624AA286}"/>
            </a:ext>
          </a:extLst>
        </xdr:cNvPr>
        <xdr:cNvGrpSpPr/>
      </xdr:nvGrpSpPr>
      <xdr:grpSpPr>
        <a:xfrm>
          <a:off x="4533900" y="5816600"/>
          <a:ext cx="9944100" cy="4292600"/>
          <a:chOff x="15408275" y="4883150"/>
          <a:chExt cx="8001000" cy="4146550"/>
        </a:xfrm>
      </xdr:grpSpPr>
      <xdr:pic>
        <xdr:nvPicPr>
          <xdr:cNvPr id="2" name="Graphic 1">
            <a:extLst>
              <a:ext uri="{FF2B5EF4-FFF2-40B4-BE49-F238E27FC236}">
                <a16:creationId xmlns:a16="http://schemas.microsoft.com/office/drawing/2014/main" id="{A52E951B-24B7-4F78-9CA4-6722A4BA8E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FE804443-C21F-4453-8883-02EF31FA1EC3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A18AF16A-C4A8-4539-8F20-2FEE2CA049D4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F64DCC66-D951-4918-BAF4-023CAC2079E2}" userId="S::P2161@uniper.energy::6b1c01df-18b0-43bf-88dc-de257a1616ff" providerId="AD"/>
  <person displayName="Nick Sillito" id="{2C075CE6-65CE-4403-B840-1065F1E9C75F}" userId="S::nsillito@peakgen.com::728306bb-6649-42fd-8271-fea0105d643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5" dT="2022-06-10T09:30:20.32" personId="{2C075CE6-65CE-4403-B840-1065F1E9C75F}" id="{4D411BE0-C319-461A-9736-F3C8E55D48EF}">
    <text>For a new build circuit, this value is always 0 (capital expenditure is at time of build)</text>
  </threadedComment>
  <threadedComment ref="G5" dT="2022-06-10T09:31:24.46" personId="{2C075CE6-65CE-4403-B840-1065F1E9C75F}" id="{171901C3-0FF9-492F-9CA2-1610FC1AF1E1}">
    <text>For a new build circuit, there was no circuit before the investment, therefore the inital capacity is always 0</text>
  </threadedComment>
  <threadedComment ref="B10" dT="2022-06-10T09:43:14.23" personId="{2C075CE6-65CE-4403-B840-1065F1E9C75F}" id="{9E51B734-B54D-4A59-BC67-5CDDE66A571A}">
    <text>This is a simple reconductoring, 30 years after the asset was buit. It increases the circuit capacity, but does not change the asset life</text>
  </threadedComment>
  <threadedComment ref="B11" dT="2022-06-10T09:43:14.23" personId="{2C075CE6-65CE-4403-B840-1065F1E9C75F}" id="{C41E08B3-22F2-419D-A9DE-CEAE0375FDC2}">
    <text>This is a simple reconductoring, 30 years after the asset was buit. It increases the circuit capacity, but does not change the asset life</text>
  </threadedComment>
  <threadedComment ref="I11" dT="2022-08-17T15:40:16.83" personId="{2C075CE6-65CE-4403-B840-1065F1E9C75F}" id="{4A7EE88A-14EF-4625-9C15-D489FB78920D}">
    <text>Because the incremental capacity of this reinforcement is 0, its weighting in the expansion constant is 0. This means that like for like reconductoring has no impact on cost</text>
  </threadedComment>
  <threadedComment ref="B12" dT="2022-06-10T09:43:14.23" personId="{2C075CE6-65CE-4403-B840-1065F1E9C75F}" id="{C9A25D62-B89C-4FD1-810C-8E916E2AD708}">
    <text>This is a simple reconductoring, 30 years after the asset was buit. It increases the circuit capacity, but does not change the asset life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6D097F18-F7A2-4CF1-BAA0-636D905BC5E6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51F519CD-8809-40C5-A46F-DD10BC87252D}">
    <text>For a new build circuit, this value is always 0 (capital expenditure is at time of build)</text>
  </threadedComment>
  <threadedComment ref="E5" dT="2022-08-28T10:43:25.15" personId="{2C075CE6-65CE-4403-B840-1065F1E9C75F}" id="{1E07BDF4-744B-4591-A155-45A2545FFBE2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F78E0AB2-C7BE-4AF7-A7CA-4988FBC08455}">
    <text>For a new build circuit, there was no circuit before the investment, therefore the inital capacity is always 0</text>
  </threadedComment>
  <threadedComment ref="I5" dT="2022-08-28T11:19:22.02" personId="{2C075CE6-65CE-4403-B840-1065F1E9C75F}" id="{F81B0084-F345-4D66-88A7-0A2F4916067B}">
    <text>Formula floors value at zero.
See diagram for illustration.</text>
  </threadedComment>
  <threadedComment ref="K5" dT="2022-08-28T11:05:22.80" personId="{2C075CE6-65CE-4403-B840-1065F1E9C75F}" id="{A5FC4170-AD26-4F24-9700-AB54548877CF}">
    <text>See CUSC 14.15.64</text>
  </threadedComment>
  <threadedComment ref="M5" dT="2022-08-28T11:10:40.61" personId="{2C075CE6-65CE-4403-B840-1065F1E9C75F}" id="{F5CFEEB3-2939-455D-A631-32E80F037DE4}">
    <text>Also includes an allowance for TO overheads in accordance with CUSC 14.15.67</text>
  </threadedComment>
  <threadedComment ref="S7" dT="2022-08-28T11:21:09.93" personId="{2C075CE6-65CE-4403-B840-1065F1E9C75F}" id="{6498F089-2708-40B1-B1BF-251906928D54}">
    <text>In the event that no data was available to calculate this, then the previous year's value would be used, with CPI indexation applied</text>
  </threadedComment>
  <threadedComment ref="A10" dT="2022-06-10T09:43:14.23" personId="{2C075CE6-65CE-4403-B840-1065F1E9C75F}" id="{047063AE-B908-4505-8477-0FAEE116DF83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069CE03A-8E89-45AE-A92B-BDD9B9258D40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CBBBF22F-EA70-47F1-AF67-0151232EF6EA}">
    <text>This is a simple reconductoring, 30 years after the asset was buit. It increases the circuit capacity, but does not change the asset life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C43787E3-BD3C-4608-8384-BFEF30CC8308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5463A67B-6687-4CD3-889A-2E6648F573B0}">
    <text>For a new build circuit, this value is always 0 (capital expenditure is at time of build)</text>
  </threadedComment>
  <threadedComment ref="E5" dT="2022-08-28T10:43:25.15" personId="{2C075CE6-65CE-4403-B840-1065F1E9C75F}" id="{A667926D-E142-4A35-8E54-62FC3FD74E73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8962F044-41BB-4D66-9089-87AD304F4FCF}">
    <text>For a new build circuit, there was no circuit before the investment, therefore the inital capacity is always 0</text>
  </threadedComment>
  <threadedComment ref="K5" dT="2022-08-28T11:05:22.80" personId="{2C075CE6-65CE-4403-B840-1065F1E9C75F}" id="{A204DF38-3CE5-41C4-9C81-9524826586CB}">
    <text>See CUSC 14.15.64</text>
  </threadedComment>
  <threadedComment ref="M5" dT="2022-08-28T11:10:40.61" personId="{2C075CE6-65CE-4403-B840-1065F1E9C75F}" id="{38151133-2A1C-4678-861B-046C2DE2038B}">
    <text>Also includes an allowance for TO overheads in accordance with CUSC 14.15.67</text>
  </threadedComment>
  <threadedComment ref="P5" dT="2022-08-28T11:19:22.02" personId="{2C075CE6-65CE-4403-B840-1065F1E9C75F}" id="{16A5F79B-6E13-47BA-A02A-D5A2867AF224}">
    <text>Formula floors value at zero.
See diagram for illustration.</text>
  </threadedComment>
  <threadedComment ref="R5" dT="2022-08-28T11:05:22.80" personId="{2C075CE6-65CE-4403-B840-1065F1E9C75F}" id="{D03FFDF4-FAED-44B2-AEE9-B8020B220F8E}">
    <text>See CUSC 14.15.64</text>
  </threadedComment>
  <threadedComment ref="T5" dT="2022-08-28T11:10:40.61" personId="{2C075CE6-65CE-4403-B840-1065F1E9C75F}" id="{C5AAD08D-DA2C-48DD-B508-551D321769B7}">
    <text>Also includes an allowance for TO overheads in accordance with CUSC 14.15.67</text>
  </threadedComment>
  <threadedComment ref="AA7" dT="2022-08-28T11:21:09.93" personId="{2C075CE6-65CE-4403-B840-1065F1E9C75F}" id="{304A3569-0CD1-420E-BA16-413F5E28B521}">
    <text>In the event that no data was available to calculate this, then the previous year's value would be used, with CPI indexation applied</text>
  </threadedComment>
  <threadedComment ref="A10" dT="2022-06-10T09:43:14.23" personId="{2C075CE6-65CE-4403-B840-1065F1E9C75F}" id="{876AB2F1-CB39-4F9A-B09D-A36D0D2AD64A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274D2B50-681C-40CA-80C2-CC7843EF5A06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48666BB9-718C-459E-A73F-A32B5A6107A0}">
    <text>This is a simple reconductoring, 30 years after the asset was buit. It increases the circuit capacity, but does not change the asset life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F062CDD1-C8E7-47E2-A122-9B58EC2900AC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F9930EA8-1A66-4152-A1EB-9A294CB76E35}">
    <text>For a new build circuit, this value is always 0 (capital expenditure is at time of build)</text>
  </threadedComment>
  <threadedComment ref="E5" dT="2022-08-28T10:43:25.15" personId="{2C075CE6-65CE-4403-B840-1065F1E9C75F}" id="{6DB4692B-DC5F-4397-B2C1-2C3266484A44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68DEB420-1F0B-4AAB-9169-B9E11C898273}">
    <text>For a new build circuit, there was no circuit before the investment, therefore the inital capacity is always 0</text>
  </threadedComment>
  <threadedComment ref="I5" dT="2022-08-28T11:19:22.02" personId="{2C075CE6-65CE-4403-B840-1065F1E9C75F}" id="{C3F8960B-C64F-4F7E-965F-63D6334B436A}">
    <text>Formula floors value at zero.
See diagram for illustration.</text>
  </threadedComment>
  <threadedComment ref="L5" dT="2022-08-28T11:05:22.80" personId="{2C075CE6-65CE-4403-B840-1065F1E9C75F}" id="{335218EA-5B5A-45D0-AAE8-FDF4709AFBAF}">
    <text>See CUSC 14.15.64</text>
  </threadedComment>
  <threadedComment ref="N5" dT="2022-08-28T11:10:40.61" personId="{2C075CE6-65CE-4403-B840-1065F1E9C75F}" id="{ABC35FBC-E713-420C-9879-87ED80739821}">
    <text>Also includes an allowance for TO overheads in accordance with CUSC 14.15.67</text>
  </threadedComment>
  <threadedComment ref="A10" dT="2022-06-10T09:43:14.23" personId="{2C075CE6-65CE-4403-B840-1065F1E9C75F}" id="{C076CC6B-0010-4E63-AD70-7028E0D24DD6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A145B9CA-9D9D-4B53-BE11-31ACE3F947F5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17277706-19F7-49E5-B19A-3C11A9D18E59}">
    <text>This is a simple reconductoring, 30 years after the asset was buit. It increases the circuit capacity, but does not change the asset life</text>
  </threadedComment>
  <threadedComment ref="B19" dT="2022-08-28T11:01:57.87" personId="{2C075CE6-65CE-4403-B840-1065F1E9C75F}" id="{83390F75-D0DD-4211-823A-6EF898E66003}">
    <text xml:space="preserve">A transformer is always a single item (this value is always 1)
</text>
  </threadedComment>
  <threadedComment ref="D19" dT="2022-06-10T09:30:20.32" personId="{2C075CE6-65CE-4403-B840-1065F1E9C75F}" id="{38E2C82F-D3CC-4A4D-AF00-030F14914510}">
    <text>For a new build circuit, this value is always 0 (capital expenditure is at time of build)</text>
  </threadedComment>
  <threadedComment ref="E19" dT="2022-08-28T10:43:25.15" personId="{2C075CE6-65CE-4403-B840-1065F1E9C75F}" id="{12CE6AD0-38C0-4274-A034-9111B57A8A13}">
    <text>Zero for new build assets, expected life of the initial asset (if maintained in accordance with good industry practice) for refurbished assets</text>
  </threadedComment>
  <threadedComment ref="G19" dT="2022-06-10T09:31:24.46" personId="{2C075CE6-65CE-4403-B840-1065F1E9C75F}" id="{7DB23D3A-0A8F-4EFD-8738-3B34CD2F2811}">
    <text>For a new build circuit, there was no circuit before the investment, therefore the inital capacity is always 0</text>
  </threadedComment>
  <threadedComment ref="I19" dT="2022-08-28T11:19:22.02" personId="{2C075CE6-65CE-4403-B840-1065F1E9C75F}" id="{FD7C2CF3-590A-4D0E-8F78-FC875E2865AB}">
    <text>Formula floors value at zero.
See diagram for illustration.</text>
  </threadedComment>
  <threadedComment ref="L19" dT="2022-08-28T11:05:22.80" personId="{2C075CE6-65CE-4403-B840-1065F1E9C75F}" id="{F245E12E-4243-442E-9020-0D3E5859BEC2}">
    <text>See CUSC 14.15.64</text>
  </threadedComment>
  <threadedComment ref="N19" dT="2022-08-28T11:10:40.61" personId="{2C075CE6-65CE-4403-B840-1065F1E9C75F}" id="{4405F9D7-6939-409A-A279-DFE73C365275}">
    <text>Also includes an allowance for TO overheads in accordance with CUSC 14.15.67</text>
  </threadedComment>
  <threadedComment ref="B31" dT="2022-08-28T11:01:57.87" personId="{2C075CE6-65CE-4403-B840-1065F1E9C75F}" id="{395C0284-E1D9-4FD0-AD72-8B067A65EC4D}">
    <text xml:space="preserve">A circuit breaker is always a single item (this value is always 1)
</text>
  </threadedComment>
  <threadedComment ref="D31" dT="2022-06-10T09:30:20.32" personId="{2C075CE6-65CE-4403-B840-1065F1E9C75F}" id="{9F93725A-A59B-4D90-B67A-56AF7395857A}">
    <text>For a new build, this value is always 0 (capital expenditure is at time of build)</text>
  </threadedComment>
  <threadedComment ref="E31" dT="2022-08-28T10:43:25.15" personId="{2C075CE6-65CE-4403-B840-1065F1E9C75F}" id="{39A96B2A-B0D6-4649-BAC9-F942E876CF17}">
    <text>Zero for new build assets, expected life of the initial asset (if maintained in accordance with good industry practice) for refurbished assets</text>
  </threadedComment>
  <threadedComment ref="G31" dT="2022-06-10T09:31:24.46" personId="{2C075CE6-65CE-4403-B840-1065F1E9C75F}" id="{D235C988-5164-4E8B-840A-EDC4EF8F3DEC}">
    <text>For a new build bay, there was no circuit before the investment, therefore the inital capacity is always 0</text>
  </threadedComment>
  <threadedComment ref="H31" dT="2022-10-12T10:21:25.65" personId="{2C075CE6-65CE-4403-B840-1065F1E9C75F}" id="{9A7AD438-DDC3-4593-BFD0-E260F6FF12EC}">
    <text xml:space="preserve">For a substation bay, thermal capacity is not the limiting factor. To ensure proper cost recovery, the capacity is the average loading (from the transport model of a 275 kV circuit). For this example, 847 MVA is assumed
</text>
  </threadedComment>
  <threadedComment ref="I31" dT="2022-08-28T11:19:22.02" personId="{2C075CE6-65CE-4403-B840-1065F1E9C75F}" id="{43F8A6AF-AE63-4E3C-9176-90FF968A9211}">
    <text>Formula floors value at zero.
See diagram for illustration.</text>
  </threadedComment>
  <threadedComment ref="L31" dT="2022-08-28T11:05:22.80" personId="{2C075CE6-65CE-4403-B840-1065F1E9C75F}" id="{96ADFC81-F8CA-4764-B60A-D45462ACB106}">
    <text>See CUSC 14.15.64</text>
  </threadedComment>
  <threadedComment ref="N31" dT="2022-08-28T11:10:40.61" personId="{2C075CE6-65CE-4403-B840-1065F1E9C75F}" id="{34D64A8B-41BE-4517-8072-EFE788707773}">
    <text>Also includes an allowance for TO overheads in accordance with CUSC 14.15.67</text>
  </threadedComment>
  <threadedComment ref="G36" dT="2022-10-12T10:30:13.14" personId="{2C075CE6-65CE-4403-B840-1065F1E9C75F}" id="{D9F684BA-78CF-403F-9134-4D514D6E25E4}">
    <text>847 MVA used as this is the "nominal" capacity of a bay.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2E493AE4-87C8-4161-87AB-8D118172CD93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E67598E8-94D7-4B98-BC52-2926A8F3C56F}">
    <text>For a new build circuit, this value is always 0 (capital expenditure is at time of build)</text>
  </threadedComment>
  <threadedComment ref="E5" dT="2022-08-28T10:43:25.15" personId="{2C075CE6-65CE-4403-B840-1065F1E9C75F}" id="{88F17733-E222-4573-BA65-A930BB1D3C19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01DC099A-791B-44D6-93A0-AC406B6C28C3}">
    <text>For a new build circuit, there was no circuit before the investment, therefore the inital capacity is always 0</text>
  </threadedComment>
  <threadedComment ref="J5" dT="2022-09-13T15:13:33.17" personId="{F64DCC66-D951-4918-BAF4-023CAC2079E2}" id="{D301DE26-599F-4108-A401-9A4552F3DF6D}">
    <text>Didn't use MEA approach.  High or low incremental costs should be smoothed by also including historic costs in final EC</text>
  </threadedComment>
  <threadedComment ref="K5" dT="2022-09-13T15:07:09.22" personId="{F64DCC66-D951-4918-BAF4-023CAC2079E2}" id="{9B4C4243-387F-4366-9DBD-443CC89859AB}">
    <text>Incremental MW used</text>
  </threadedComment>
  <threadedComment ref="L5" dT="2022-09-13T15:08:12.30" personId="{F64DCC66-D951-4918-BAF4-023CAC2079E2}" id="{F38D9C72-247E-4B02-93D0-E34FCA737FA7}">
    <text>Adjusted for years additional MW are provided for</text>
  </threadedComment>
  <threadedComment ref="M5" dT="2022-09-13T15:08:59.32" personId="{F64DCC66-D951-4918-BAF4-023CAC2079E2}" id="{A6E7F034-B31C-4AED-9DD6-CAD9BFEE7036}">
    <text>Crude scaling to reflect overheads not allocated for 50 years</text>
  </threadedComment>
  <threadedComment ref="T5" dT="2022-09-13T15:08:12.30" personId="{F64DCC66-D951-4918-BAF4-023CAC2079E2}" id="{9C53B29D-DC6B-45A6-9575-F2050D763B38}">
    <text>Adjusted to reflect additional years provided by investment</text>
  </threadedComment>
  <threadedComment ref="U5" dT="2022-09-13T15:08:59.32" personId="{F64DCC66-D951-4918-BAF4-023CAC2079E2}" id="{A3386034-A843-495D-B618-33566B920ECB}">
    <text>Crude scaling to reflect overheads not allocated for 50 years</text>
  </threadedComment>
  <threadedComment ref="V5" dT="2022-08-28T11:10:40.61" personId="{2C075CE6-65CE-4403-B840-1065F1E9C75F}" id="{6968C0B6-7AC5-4413-A663-FE12D5AE332B}">
    <text>Also includes an allowance for TO overheads in accordance with CUSC 14.15.67</text>
  </threadedComment>
  <threadedComment ref="A10" dT="2022-06-10T09:43:14.23" personId="{2C075CE6-65CE-4403-B840-1065F1E9C75F}" id="{3ED3A951-846E-4BDA-A37F-216508640B79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7CB8E48F-D2D3-4A12-BE62-7F675AE89EB3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E566F61E-7DCC-4FEE-8B4C-17BED675850A}">
    <text>This is a simple reconductoring, 30 years after the asset was buit. It increases the circuit capacity, but does not change the asset life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A9F04-E647-4827-89E7-A6E3E1DDCDED}">
  <dimension ref="B4:Q16"/>
  <sheetViews>
    <sheetView workbookViewId="0">
      <selection activeCell="J6" sqref="J6"/>
    </sheetView>
  </sheetViews>
  <sheetFormatPr defaultRowHeight="15" x14ac:dyDescent="0.25"/>
  <cols>
    <col min="3" max="3" width="14" customWidth="1"/>
    <col min="4" max="4" width="13.7109375" customWidth="1"/>
    <col min="5" max="5" width="12.85546875" customWidth="1"/>
    <col min="6" max="6" width="12.28515625" customWidth="1"/>
    <col min="7" max="7" width="19.42578125" bestFit="1" customWidth="1"/>
    <col min="8" max="8" width="18.5703125" bestFit="1" customWidth="1"/>
    <col min="9" max="9" width="23.7109375" bestFit="1" customWidth="1"/>
    <col min="10" max="10" width="18.42578125" bestFit="1" customWidth="1"/>
    <col min="16" max="16" width="55.140625" bestFit="1" customWidth="1"/>
    <col min="17" max="17" width="11.5703125" bestFit="1" customWidth="1"/>
  </cols>
  <sheetData>
    <row r="4" spans="2:17" x14ac:dyDescent="0.25">
      <c r="B4" s="1"/>
      <c r="P4" s="1"/>
    </row>
    <row r="5" spans="2:17" x14ac:dyDescent="0.25">
      <c r="C5" t="s">
        <v>0</v>
      </c>
      <c r="D5" t="s">
        <v>1</v>
      </c>
      <c r="E5" t="s">
        <v>4</v>
      </c>
      <c r="F5" t="s">
        <v>2</v>
      </c>
      <c r="G5" t="s">
        <v>5</v>
      </c>
      <c r="H5" t="s">
        <v>3</v>
      </c>
      <c r="I5" t="s">
        <v>8</v>
      </c>
      <c r="J5" t="s">
        <v>7</v>
      </c>
    </row>
    <row r="6" spans="2:17" x14ac:dyDescent="0.25">
      <c r="B6" t="s">
        <v>9</v>
      </c>
      <c r="C6" s="3">
        <v>10</v>
      </c>
      <c r="D6" s="3">
        <v>5000000</v>
      </c>
      <c r="E6" s="2">
        <v>0</v>
      </c>
      <c r="F6" s="3">
        <v>50</v>
      </c>
      <c r="G6" s="3">
        <v>0</v>
      </c>
      <c r="H6" s="3">
        <v>2000</v>
      </c>
      <c r="I6" s="6">
        <f>H6-G6</f>
        <v>2000</v>
      </c>
      <c r="J6" s="4">
        <f>D6/C6/(H6-G6)</f>
        <v>250</v>
      </c>
      <c r="K6" s="5"/>
      <c r="P6" t="s">
        <v>15</v>
      </c>
    </row>
    <row r="7" spans="2:17" x14ac:dyDescent="0.25">
      <c r="B7" t="s">
        <v>31</v>
      </c>
      <c r="C7" s="3">
        <v>20</v>
      </c>
      <c r="D7" s="3">
        <v>11000000</v>
      </c>
      <c r="E7" s="2">
        <v>0</v>
      </c>
      <c r="F7" s="3">
        <v>50</v>
      </c>
      <c r="G7" s="3">
        <v>0</v>
      </c>
      <c r="H7" s="3">
        <v>2500</v>
      </c>
      <c r="I7" s="6">
        <f t="shared" ref="I7:I9" si="0">H7-G7</f>
        <v>2500</v>
      </c>
      <c r="J7" s="4">
        <f>D7/C7/(H7-G7)</f>
        <v>220</v>
      </c>
      <c r="K7" s="5"/>
      <c r="P7" t="s">
        <v>16</v>
      </c>
      <c r="Q7">
        <f>SUMPRODUCT(C6:C9, I6:I9, J6:J9) / SUMPRODUCT(C6:C9, I6:I9)</f>
        <v>223.87518142235123</v>
      </c>
    </row>
    <row r="8" spans="2:17" x14ac:dyDescent="0.25">
      <c r="B8" t="s">
        <v>10</v>
      </c>
      <c r="C8" s="3">
        <v>15</v>
      </c>
      <c r="D8" s="3">
        <v>8625000</v>
      </c>
      <c r="E8" s="2">
        <v>0</v>
      </c>
      <c r="F8" s="3">
        <v>50</v>
      </c>
      <c r="G8" s="3">
        <v>0</v>
      </c>
      <c r="H8" s="3">
        <v>2700</v>
      </c>
      <c r="I8" s="6">
        <f t="shared" si="0"/>
        <v>2700</v>
      </c>
      <c r="J8" s="4">
        <f>D8/C8/(H8-G8)</f>
        <v>212.96296296296296</v>
      </c>
      <c r="K8" s="5"/>
      <c r="P8" t="s">
        <v>17</v>
      </c>
    </row>
    <row r="9" spans="2:17" x14ac:dyDescent="0.25">
      <c r="B9" t="s">
        <v>11</v>
      </c>
      <c r="C9" s="3">
        <v>75</v>
      </c>
      <c r="D9" s="3">
        <v>52500000</v>
      </c>
      <c r="E9" s="2">
        <v>0</v>
      </c>
      <c r="F9" s="3">
        <v>50</v>
      </c>
      <c r="G9" s="3">
        <v>0</v>
      </c>
      <c r="H9" s="3">
        <v>3120</v>
      </c>
      <c r="I9" s="6">
        <f t="shared" si="0"/>
        <v>3120</v>
      </c>
      <c r="J9" s="4">
        <f>D9/C9/(H9-G9)</f>
        <v>224.35897435897436</v>
      </c>
      <c r="K9" s="5"/>
    </row>
    <row r="10" spans="2:17" x14ac:dyDescent="0.25">
      <c r="B10" t="s">
        <v>12</v>
      </c>
      <c r="C10" s="2">
        <v>75</v>
      </c>
      <c r="D10" s="3">
        <v>18750000</v>
      </c>
      <c r="E10" s="2">
        <v>30</v>
      </c>
      <c r="F10" s="2">
        <v>50</v>
      </c>
      <c r="G10" s="3">
        <v>2000</v>
      </c>
      <c r="H10" s="3">
        <v>2500</v>
      </c>
      <c r="I10" s="6">
        <f>H10-G10</f>
        <v>500</v>
      </c>
      <c r="J10" s="7">
        <f>(D10+C10*G10*MEA_Cost)/H10/C10</f>
        <v>279.10014513788099</v>
      </c>
      <c r="K10" s="5"/>
      <c r="P10" t="s">
        <v>28</v>
      </c>
      <c r="Q10">
        <v>50</v>
      </c>
    </row>
    <row r="11" spans="2:17" x14ac:dyDescent="0.25">
      <c r="B11" t="s">
        <v>13</v>
      </c>
      <c r="C11" s="2">
        <v>50</v>
      </c>
      <c r="D11" s="3">
        <v>7500000</v>
      </c>
      <c r="E11" s="2">
        <v>40</v>
      </c>
      <c r="F11" s="2">
        <v>70</v>
      </c>
      <c r="G11" s="3">
        <v>1750</v>
      </c>
      <c r="H11" s="3">
        <v>1750</v>
      </c>
      <c r="I11" s="6">
        <f>H11-G11</f>
        <v>0</v>
      </c>
      <c r="J11" s="7">
        <f>(D11+C11*G11*MEA_Cost)/H11/C11</f>
        <v>309.58946713663693</v>
      </c>
      <c r="K11" s="5"/>
      <c r="P11" t="s">
        <v>27</v>
      </c>
      <c r="Q11" s="11">
        <f>WACC/(1-(1+WACC)^-Assumed_Asset_Life__years)</f>
        <v>4.6550200449541529E-2</v>
      </c>
    </row>
    <row r="12" spans="2:17" x14ac:dyDescent="0.25">
      <c r="B12" t="s">
        <v>14</v>
      </c>
      <c r="C12" s="2">
        <v>350</v>
      </c>
      <c r="D12" s="3">
        <v>61250000</v>
      </c>
      <c r="E12" s="2">
        <v>45</v>
      </c>
      <c r="F12" s="2">
        <v>70</v>
      </c>
      <c r="G12" s="3">
        <v>2750</v>
      </c>
      <c r="H12" s="3">
        <v>3150</v>
      </c>
      <c r="I12" s="6">
        <f>H12-G12</f>
        <v>400</v>
      </c>
      <c r="J12" s="7">
        <f>(D12+C12*G12*MEA_Cost)/H12/C12</f>
        <v>251.00214251157649</v>
      </c>
      <c r="K12" s="5"/>
      <c r="P12" t="s">
        <v>29</v>
      </c>
      <c r="Q12" s="11">
        <f>Overheads</f>
        <v>1.7999999999999999E-2</v>
      </c>
    </row>
    <row r="13" spans="2:17" x14ac:dyDescent="0.25">
      <c r="P13" t="s">
        <v>30</v>
      </c>
      <c r="Q13" s="11">
        <f>SUM(Q11:Q12)</f>
        <v>6.4550200449541531E-2</v>
      </c>
    </row>
    <row r="14" spans="2:17" x14ac:dyDescent="0.25">
      <c r="I14" t="s">
        <v>26</v>
      </c>
      <c r="J14" s="10">
        <f>SUMPRODUCT(C6:C12, I6:I12, J6:J12) / SUMPRODUCT(C6:C12, I6:I12)</f>
        <v>235.11792221128593</v>
      </c>
    </row>
    <row r="15" spans="2:17" ht="15.75" thickBot="1" x14ac:dyDescent="0.3"/>
    <row r="16" spans="2:17" ht="15.75" thickBot="1" x14ac:dyDescent="0.3">
      <c r="C16" s="12" t="s">
        <v>6</v>
      </c>
      <c r="D16" s="13">
        <f>J14*Q13</f>
        <v>15.176909008018219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2CFCE-4F87-4BA8-8154-67B173EB89EA}">
  <sheetPr>
    <pageSetUpPr fitToPage="1"/>
  </sheetPr>
  <dimension ref="A4:S16"/>
  <sheetViews>
    <sheetView topLeftCell="B1" workbookViewId="0">
      <selection activeCell="J6" sqref="J6"/>
    </sheetView>
  </sheetViews>
  <sheetFormatPr defaultRowHeight="15" x14ac:dyDescent="0.25"/>
  <cols>
    <col min="1" max="13" width="14.85546875" customWidth="1"/>
    <col min="18" max="18" width="55.140625" bestFit="1" customWidth="1"/>
    <col min="19" max="19" width="11.5703125" bestFit="1" customWidth="1"/>
  </cols>
  <sheetData>
    <row r="4" spans="1:19" x14ac:dyDescent="0.25">
      <c r="A4" s="1"/>
      <c r="R4" s="1"/>
    </row>
    <row r="5" spans="1:19" s="8" customFormat="1" ht="60" x14ac:dyDescent="0.25">
      <c r="B5" s="8" t="s">
        <v>0</v>
      </c>
      <c r="C5" s="8" t="s">
        <v>24</v>
      </c>
      <c r="D5" s="8" t="s">
        <v>4</v>
      </c>
      <c r="E5" s="8" t="s">
        <v>18</v>
      </c>
      <c r="F5" s="8" t="s">
        <v>2</v>
      </c>
      <c r="G5" s="8" t="s">
        <v>5</v>
      </c>
      <c r="H5" s="8" t="s">
        <v>3</v>
      </c>
      <c r="I5" s="8" t="s">
        <v>25</v>
      </c>
      <c r="J5" s="8" t="s">
        <v>23</v>
      </c>
      <c r="K5" s="8" t="s">
        <v>22</v>
      </c>
      <c r="L5" s="8" t="s">
        <v>32</v>
      </c>
      <c r="M5" s="8" t="s">
        <v>19</v>
      </c>
    </row>
    <row r="6" spans="1:19" x14ac:dyDescent="0.25">
      <c r="A6" t="s">
        <v>9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6">
        <f>MAX((F6-D6)*H6 - (E6-D6)*G6, 0)</f>
        <v>100000</v>
      </c>
      <c r="J6" s="4">
        <f>C6/B6/(H6-G6)</f>
        <v>250</v>
      </c>
      <c r="K6" s="9">
        <f t="shared" ref="K6:K12" si="0">WACC/(1-(1+WACC)^-(F6-D6))</f>
        <v>4.6550200449541529E-2</v>
      </c>
      <c r="L6" s="9">
        <f t="shared" ref="L6:L12" si="1">Overheads</f>
        <v>1.7999999999999999E-2</v>
      </c>
      <c r="M6" s="5">
        <f>J6*(K6+L6)</f>
        <v>16.137550112385384</v>
      </c>
      <c r="R6" t="s">
        <v>15</v>
      </c>
    </row>
    <row r="7" spans="1:19" x14ac:dyDescent="0.25">
      <c r="A7" t="s">
        <v>31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6">
        <f t="shared" ref="I7:I12" si="2">MAX((F7-D7)*H7 - (E7-D7)*G7, 0)</f>
        <v>125000</v>
      </c>
      <c r="J7" s="4">
        <f t="shared" ref="J7:J9" si="3">C7/B7/(H7-G7)</f>
        <v>220</v>
      </c>
      <c r="K7" s="9">
        <f t="shared" si="0"/>
        <v>4.6550200449541529E-2</v>
      </c>
      <c r="L7" s="9">
        <f t="shared" si="1"/>
        <v>1.7999999999999999E-2</v>
      </c>
      <c r="M7" s="5">
        <f t="shared" ref="M7:M12" si="4">J7*(K7+L7)</f>
        <v>14.201044098899137</v>
      </c>
      <c r="R7" t="s">
        <v>16</v>
      </c>
      <c r="S7">
        <f>SUMPRODUCT(B6:B9, I6:I9, J6:J9) / SUMPRODUCT(B6:B9, I6:I9)</f>
        <v>223.87518142235123</v>
      </c>
    </row>
    <row r="8" spans="1:19" x14ac:dyDescent="0.25">
      <c r="A8" t="s">
        <v>10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6">
        <f t="shared" si="2"/>
        <v>135000</v>
      </c>
      <c r="J8" s="4">
        <f t="shared" si="3"/>
        <v>212.96296296296296</v>
      </c>
      <c r="K8" s="9">
        <f t="shared" si="0"/>
        <v>4.6550200449541529E-2</v>
      </c>
      <c r="L8" s="9">
        <f t="shared" si="1"/>
        <v>1.7999999999999999E-2</v>
      </c>
      <c r="M8" s="5">
        <f t="shared" si="4"/>
        <v>13.746801947587548</v>
      </c>
      <c r="R8" t="s">
        <v>17</v>
      </c>
    </row>
    <row r="9" spans="1:19" x14ac:dyDescent="0.25">
      <c r="A9" t="s">
        <v>11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6">
        <f t="shared" si="2"/>
        <v>156000</v>
      </c>
      <c r="J9" s="4">
        <f t="shared" si="3"/>
        <v>224.35897435897436</v>
      </c>
      <c r="K9" s="9">
        <f t="shared" si="0"/>
        <v>4.6550200449541529E-2</v>
      </c>
      <c r="L9" s="9">
        <f t="shared" si="1"/>
        <v>1.7999999999999999E-2</v>
      </c>
      <c r="M9" s="5">
        <f t="shared" si="4"/>
        <v>14.482416767525343</v>
      </c>
    </row>
    <row r="10" spans="1:19" x14ac:dyDescent="0.25">
      <c r="A10" t="s">
        <v>12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6">
        <f t="shared" si="2"/>
        <v>10000</v>
      </c>
      <c r="J10" s="7">
        <f>(C10+B10*G10*MEA_Cost)/H10/B10</f>
        <v>279.10014513788099</v>
      </c>
      <c r="K10" s="9">
        <f t="shared" si="0"/>
        <v>7.3581750328628834E-2</v>
      </c>
      <c r="L10" s="9">
        <f t="shared" si="1"/>
        <v>1.7999999999999999E-2</v>
      </c>
      <c r="M10" s="5">
        <f t="shared" si="4"/>
        <v>25.560479808701487</v>
      </c>
    </row>
    <row r="11" spans="1:19" x14ac:dyDescent="0.25">
      <c r="A11" t="s">
        <v>13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6">
        <f t="shared" si="2"/>
        <v>35000</v>
      </c>
      <c r="J11" s="7">
        <f>(C11+B11*G11*MEA_Cost)/H11/B11</f>
        <v>309.58946713663693</v>
      </c>
      <c r="K11" s="9">
        <f t="shared" si="0"/>
        <v>5.78300991336613E-2</v>
      </c>
      <c r="L11" s="9">
        <f t="shared" si="1"/>
        <v>1.7999999999999999E-2</v>
      </c>
      <c r="M11" s="5">
        <f t="shared" si="4"/>
        <v>23.476199983708558</v>
      </c>
    </row>
    <row r="12" spans="1:19" x14ac:dyDescent="0.25">
      <c r="A12" t="s">
        <v>14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6">
        <f t="shared" si="2"/>
        <v>65000</v>
      </c>
      <c r="J12" s="7">
        <f>(C12+B12*G12*MEA_Cost)/H12/B12</f>
        <v>251.00214251157649</v>
      </c>
      <c r="K12" s="9">
        <f t="shared" si="0"/>
        <v>6.401196278645456E-2</v>
      </c>
      <c r="L12" s="9">
        <f t="shared" si="1"/>
        <v>1.7999999999999999E-2</v>
      </c>
      <c r="M12" s="5">
        <f t="shared" si="4"/>
        <v>20.585178370979776</v>
      </c>
    </row>
    <row r="15" spans="1:19" ht="15.75" thickBot="1" x14ac:dyDescent="0.3"/>
    <row r="16" spans="1:19" ht="15.75" thickBot="1" x14ac:dyDescent="0.3">
      <c r="B16" s="12" t="s">
        <v>6</v>
      </c>
      <c r="C16" s="14">
        <f>SUMPRODUCT(B6:B12, I6:I12, M6:M12) / SUMPRODUCT(B6:B12, I6:I12)</f>
        <v>18.304608081256045</v>
      </c>
    </row>
  </sheetData>
  <pageMargins left="0.7" right="0.7" top="0.75" bottom="0.75" header="0.3" footer="0.3"/>
  <pageSetup paperSize="8" scale="6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EA13C-E625-4375-BC5F-BF35EC5A194F}">
  <dimension ref="A4:AA16"/>
  <sheetViews>
    <sheetView topLeftCell="D1" workbookViewId="0">
      <selection activeCell="R6" sqref="R6"/>
    </sheetView>
  </sheetViews>
  <sheetFormatPr defaultRowHeight="15" x14ac:dyDescent="0.25"/>
  <cols>
    <col min="1" max="21" width="14.85546875" customWidth="1"/>
    <col min="22" max="22" width="13" customWidth="1"/>
    <col min="26" max="26" width="55.140625" bestFit="1" customWidth="1"/>
    <col min="27" max="27" width="11.5703125" bestFit="1" customWidth="1"/>
  </cols>
  <sheetData>
    <row r="4" spans="1:27" x14ac:dyDescent="0.25">
      <c r="A4" s="1"/>
      <c r="I4" s="15" t="s">
        <v>37</v>
      </c>
      <c r="J4" s="16"/>
      <c r="K4" s="16"/>
      <c r="L4" s="16"/>
      <c r="M4" s="16"/>
      <c r="N4" s="16"/>
      <c r="O4" s="16"/>
      <c r="P4" s="15" t="s">
        <v>36</v>
      </c>
      <c r="Q4" s="16"/>
      <c r="R4" s="16"/>
      <c r="S4" s="16"/>
      <c r="T4" s="16"/>
      <c r="U4" s="16"/>
      <c r="V4" s="17"/>
      <c r="Z4" s="1"/>
    </row>
    <row r="5" spans="1:27" s="8" customFormat="1" ht="60" x14ac:dyDescent="0.25">
      <c r="B5" s="8" t="s">
        <v>0</v>
      </c>
      <c r="C5" s="8" t="s">
        <v>24</v>
      </c>
      <c r="D5" s="8" t="s">
        <v>4</v>
      </c>
      <c r="E5" s="8" t="s">
        <v>18</v>
      </c>
      <c r="F5" s="8" t="s">
        <v>2</v>
      </c>
      <c r="G5" s="8" t="s">
        <v>5</v>
      </c>
      <c r="H5" s="8" t="s">
        <v>3</v>
      </c>
      <c r="I5" s="18" t="s">
        <v>35</v>
      </c>
      <c r="J5" s="19" t="s">
        <v>33</v>
      </c>
      <c r="K5" s="19" t="s">
        <v>22</v>
      </c>
      <c r="L5" s="19" t="s">
        <v>32</v>
      </c>
      <c r="M5" s="19" t="s">
        <v>19</v>
      </c>
      <c r="N5" s="19" t="s">
        <v>39</v>
      </c>
      <c r="O5" s="19" t="s">
        <v>38</v>
      </c>
      <c r="P5" s="18" t="s">
        <v>34</v>
      </c>
      <c r="Q5" s="19" t="s">
        <v>23</v>
      </c>
      <c r="R5" s="19" t="s">
        <v>22</v>
      </c>
      <c r="S5" s="19" t="s">
        <v>32</v>
      </c>
      <c r="T5" s="19" t="s">
        <v>19</v>
      </c>
      <c r="U5" s="19" t="s">
        <v>39</v>
      </c>
      <c r="V5" s="20" t="s">
        <v>38</v>
      </c>
    </row>
    <row r="6" spans="1:27" x14ac:dyDescent="0.25">
      <c r="A6" t="s">
        <v>9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21">
        <f>E6*J6</f>
        <v>0</v>
      </c>
      <c r="J6" s="22">
        <f t="shared" ref="J6:J12" si="0">MEA_Cost</f>
        <v>223.87518142235123</v>
      </c>
      <c r="K6" s="22">
        <f t="shared" ref="K6:K12" si="1">IF(E6&gt;0, WACC/(1-(1+WACC)^-E6), 0)</f>
        <v>0</v>
      </c>
      <c r="L6" s="23">
        <f t="shared" ref="L6:L12" si="2">Overheads</f>
        <v>1.7999999999999999E-2</v>
      </c>
      <c r="M6" s="22">
        <f>J6*SUM(K6:L6)</f>
        <v>4.0297532656023218</v>
      </c>
      <c r="N6" s="22">
        <f>$B6*I6</f>
        <v>0</v>
      </c>
      <c r="O6" s="22">
        <f>$B6*I6*M6</f>
        <v>0</v>
      </c>
      <c r="P6" s="21">
        <f>MAX((F6-D6)*H6 - (E6-D6)*G6, 0)</f>
        <v>100000</v>
      </c>
      <c r="Q6" s="29">
        <f>C6/B6/(H6-G6)</f>
        <v>250</v>
      </c>
      <c r="R6" s="23">
        <f t="shared" ref="R6:R12" si="3">WACC/(1-(1+WACC)^-(F6-D6))</f>
        <v>4.6550200449541529E-2</v>
      </c>
      <c r="S6" s="23">
        <f t="shared" ref="S6:S12" si="4">Overheads</f>
        <v>1.7999999999999999E-2</v>
      </c>
      <c r="T6" s="32">
        <f>Q6*(R6+S6)</f>
        <v>16.137550112385384</v>
      </c>
      <c r="U6" s="22">
        <f>$B6*P6</f>
        <v>1000000</v>
      </c>
      <c r="V6" s="24">
        <f>$B6*P6*T6</f>
        <v>16137550.112385383</v>
      </c>
      <c r="Z6" t="s">
        <v>15</v>
      </c>
    </row>
    <row r="7" spans="1:27" x14ac:dyDescent="0.25">
      <c r="A7" t="s">
        <v>31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21">
        <f t="shared" ref="I7:I12" si="5">E7*J7</f>
        <v>0</v>
      </c>
      <c r="J7" s="22">
        <f t="shared" si="0"/>
        <v>223.87518142235123</v>
      </c>
      <c r="K7" s="22">
        <f t="shared" si="1"/>
        <v>0</v>
      </c>
      <c r="L7" s="23">
        <f t="shared" si="2"/>
        <v>1.7999999999999999E-2</v>
      </c>
      <c r="M7" s="22">
        <f t="shared" ref="M7:M12" si="6">J7*SUM(K7:L7)</f>
        <v>4.0297532656023218</v>
      </c>
      <c r="N7" s="22">
        <f t="shared" ref="N7:N12" si="7">$B7*I7</f>
        <v>0</v>
      </c>
      <c r="O7" s="22">
        <f t="shared" ref="O7:O12" si="8">$B7*I7*M7</f>
        <v>0</v>
      </c>
      <c r="P7" s="21">
        <f t="shared" ref="P7:P12" si="9">MAX((F7-D7)*H7 - (E7-D7)*G7, 0)</f>
        <v>125000</v>
      </c>
      <c r="Q7" s="29">
        <f t="shared" ref="Q7:Q9" si="10">C7/B7/(H7-G7)</f>
        <v>220</v>
      </c>
      <c r="R7" s="23">
        <f t="shared" si="3"/>
        <v>4.6550200449541529E-2</v>
      </c>
      <c r="S7" s="23">
        <f t="shared" si="4"/>
        <v>1.7999999999999999E-2</v>
      </c>
      <c r="T7" s="32">
        <f t="shared" ref="T7:T12" si="11">Q7*(R7+S7)</f>
        <v>14.201044098899137</v>
      </c>
      <c r="U7" s="22">
        <f t="shared" ref="U7:U12" si="12">$B7*P7</f>
        <v>2500000</v>
      </c>
      <c r="V7" s="24">
        <f t="shared" ref="V7:V12" si="13">$B7*P7*T7</f>
        <v>35502610.247247845</v>
      </c>
      <c r="Z7" t="s">
        <v>16</v>
      </c>
      <c r="AA7">
        <f>SUMPRODUCT(B6:B9, P6:P9, Q6:Q9) / SUMPRODUCT(B6:B9, P6:P9)</f>
        <v>223.87518142235123</v>
      </c>
    </row>
    <row r="8" spans="1:27" x14ac:dyDescent="0.25">
      <c r="A8" t="s">
        <v>10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21">
        <f t="shared" si="5"/>
        <v>0</v>
      </c>
      <c r="J8" s="22">
        <f t="shared" si="0"/>
        <v>223.87518142235123</v>
      </c>
      <c r="K8" s="22">
        <f t="shared" si="1"/>
        <v>0</v>
      </c>
      <c r="L8" s="23">
        <f t="shared" si="2"/>
        <v>1.7999999999999999E-2</v>
      </c>
      <c r="M8" s="22">
        <f t="shared" si="6"/>
        <v>4.0297532656023218</v>
      </c>
      <c r="N8" s="22">
        <f t="shared" si="7"/>
        <v>0</v>
      </c>
      <c r="O8" s="22">
        <f t="shared" si="8"/>
        <v>0</v>
      </c>
      <c r="P8" s="21">
        <f t="shared" si="9"/>
        <v>135000</v>
      </c>
      <c r="Q8" s="29">
        <f t="shared" si="10"/>
        <v>212.96296296296296</v>
      </c>
      <c r="R8" s="23">
        <f t="shared" si="3"/>
        <v>4.6550200449541529E-2</v>
      </c>
      <c r="S8" s="23">
        <f t="shared" si="4"/>
        <v>1.7999999999999999E-2</v>
      </c>
      <c r="T8" s="32">
        <f t="shared" si="11"/>
        <v>13.746801947587548</v>
      </c>
      <c r="U8" s="22">
        <f t="shared" si="12"/>
        <v>2025000</v>
      </c>
      <c r="V8" s="24">
        <f t="shared" si="13"/>
        <v>27837273.943864785</v>
      </c>
      <c r="Z8" t="s">
        <v>17</v>
      </c>
    </row>
    <row r="9" spans="1:27" x14ac:dyDescent="0.25">
      <c r="A9" t="s">
        <v>11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21">
        <f t="shared" si="5"/>
        <v>0</v>
      </c>
      <c r="J9" s="22">
        <f t="shared" si="0"/>
        <v>223.87518142235123</v>
      </c>
      <c r="K9" s="22">
        <f t="shared" si="1"/>
        <v>0</v>
      </c>
      <c r="L9" s="23">
        <f t="shared" si="2"/>
        <v>1.7999999999999999E-2</v>
      </c>
      <c r="M9" s="22">
        <f t="shared" si="6"/>
        <v>4.0297532656023218</v>
      </c>
      <c r="N9" s="22">
        <f t="shared" si="7"/>
        <v>0</v>
      </c>
      <c r="O9" s="22">
        <f t="shared" si="8"/>
        <v>0</v>
      </c>
      <c r="P9" s="21">
        <f t="shared" si="9"/>
        <v>156000</v>
      </c>
      <c r="Q9" s="29">
        <f t="shared" si="10"/>
        <v>224.35897435897436</v>
      </c>
      <c r="R9" s="23">
        <f t="shared" si="3"/>
        <v>4.6550200449541529E-2</v>
      </c>
      <c r="S9" s="23">
        <f t="shared" si="4"/>
        <v>1.7999999999999999E-2</v>
      </c>
      <c r="T9" s="32">
        <f t="shared" si="11"/>
        <v>14.482416767525343</v>
      </c>
      <c r="U9" s="22">
        <f t="shared" si="12"/>
        <v>11700000</v>
      </c>
      <c r="V9" s="24">
        <f t="shared" si="13"/>
        <v>169444276.18004653</v>
      </c>
    </row>
    <row r="10" spans="1:27" x14ac:dyDescent="0.25">
      <c r="A10" t="s">
        <v>12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21">
        <f t="shared" si="5"/>
        <v>11193.759071117562</v>
      </c>
      <c r="J10" s="22">
        <f t="shared" si="0"/>
        <v>223.87518142235123</v>
      </c>
      <c r="K10" s="22">
        <f t="shared" si="1"/>
        <v>4.6550200449541529E-2</v>
      </c>
      <c r="L10" s="23">
        <f t="shared" si="2"/>
        <v>1.7999999999999999E-2</v>
      </c>
      <c r="M10" s="22">
        <f t="shared" si="6"/>
        <v>14.451187836490249</v>
      </c>
      <c r="N10" s="22">
        <f t="shared" si="7"/>
        <v>839531.93033381714</v>
      </c>
      <c r="O10" s="22">
        <f t="shared" si="8"/>
        <v>12132233.619985238</v>
      </c>
      <c r="P10" s="21">
        <f t="shared" si="9"/>
        <v>10000</v>
      </c>
      <c r="Q10" s="30">
        <f>(C10+B10*G10*MEA_Cost)/H10/B10</f>
        <v>279.10014513788099</v>
      </c>
      <c r="R10" s="23">
        <f t="shared" si="3"/>
        <v>7.3581750328628834E-2</v>
      </c>
      <c r="S10" s="23">
        <f t="shared" si="4"/>
        <v>1.7999999999999999E-2</v>
      </c>
      <c r="T10" s="32">
        <f t="shared" si="11"/>
        <v>25.560479808701487</v>
      </c>
      <c r="U10" s="22">
        <f t="shared" si="12"/>
        <v>750000</v>
      </c>
      <c r="V10" s="24">
        <f t="shared" si="13"/>
        <v>19170359.856526114</v>
      </c>
    </row>
    <row r="11" spans="1:27" x14ac:dyDescent="0.25">
      <c r="A11" t="s">
        <v>13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21">
        <f t="shared" si="5"/>
        <v>11193.759071117562</v>
      </c>
      <c r="J11" s="22">
        <f t="shared" si="0"/>
        <v>223.87518142235123</v>
      </c>
      <c r="K11" s="22">
        <f t="shared" si="1"/>
        <v>4.6550200449541529E-2</v>
      </c>
      <c r="L11" s="23">
        <f t="shared" si="2"/>
        <v>1.7999999999999999E-2</v>
      </c>
      <c r="M11" s="22">
        <f t="shared" si="6"/>
        <v>14.451187836490249</v>
      </c>
      <c r="N11" s="22">
        <f t="shared" si="7"/>
        <v>559687.95355587814</v>
      </c>
      <c r="O11" s="22">
        <f t="shared" si="8"/>
        <v>8088155.7466568258</v>
      </c>
      <c r="P11" s="21">
        <f t="shared" si="9"/>
        <v>35000</v>
      </c>
      <c r="Q11" s="30">
        <f>(C11+B11*G11*MEA_Cost)/H11/B11</f>
        <v>309.58946713663693</v>
      </c>
      <c r="R11" s="23">
        <f t="shared" si="3"/>
        <v>5.78300991336613E-2</v>
      </c>
      <c r="S11" s="23">
        <f t="shared" si="4"/>
        <v>1.7999999999999999E-2</v>
      </c>
      <c r="T11" s="32">
        <f t="shared" si="11"/>
        <v>23.476199983708558</v>
      </c>
      <c r="U11" s="22">
        <f t="shared" si="12"/>
        <v>1750000</v>
      </c>
      <c r="V11" s="24">
        <f t="shared" si="13"/>
        <v>41083349.971489973</v>
      </c>
    </row>
    <row r="12" spans="1:27" x14ac:dyDescent="0.25">
      <c r="A12" t="s">
        <v>14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25">
        <f t="shared" si="5"/>
        <v>11193.759071117562</v>
      </c>
      <c r="J12" s="26">
        <f t="shared" si="0"/>
        <v>223.87518142235123</v>
      </c>
      <c r="K12" s="26">
        <f t="shared" si="1"/>
        <v>4.6550200449541529E-2</v>
      </c>
      <c r="L12" s="27">
        <f t="shared" si="2"/>
        <v>1.7999999999999999E-2</v>
      </c>
      <c r="M12" s="26">
        <f t="shared" si="6"/>
        <v>14.451187836490249</v>
      </c>
      <c r="N12" s="26">
        <f t="shared" si="7"/>
        <v>3917815.6748911464</v>
      </c>
      <c r="O12" s="26">
        <f t="shared" si="8"/>
        <v>56617090.226597771</v>
      </c>
      <c r="P12" s="25">
        <f t="shared" si="9"/>
        <v>65000</v>
      </c>
      <c r="Q12" s="31">
        <f>(C12+B12*G12*MEA_Cost)/H12/B12</f>
        <v>251.00214251157649</v>
      </c>
      <c r="R12" s="23">
        <f t="shared" si="3"/>
        <v>6.401196278645456E-2</v>
      </c>
      <c r="S12" s="27">
        <f t="shared" si="4"/>
        <v>1.7999999999999999E-2</v>
      </c>
      <c r="T12" s="33">
        <f t="shared" si="11"/>
        <v>20.585178370979776</v>
      </c>
      <c r="U12" s="26">
        <f t="shared" si="12"/>
        <v>22750000</v>
      </c>
      <c r="V12" s="28">
        <f t="shared" si="13"/>
        <v>468312807.93978989</v>
      </c>
    </row>
    <row r="15" spans="1:27" ht="15.75" thickBot="1" x14ac:dyDescent="0.3">
      <c r="T15" s="4" t="s">
        <v>30</v>
      </c>
      <c r="U15" s="4">
        <f>SUM(N6:N12, U6:U12)</f>
        <v>47792035.558780842</v>
      </c>
      <c r="V15" s="4">
        <f>SUM(O6:O12, V6:V12)</f>
        <v>854325707.84459043</v>
      </c>
    </row>
    <row r="16" spans="1:27" ht="15.75" thickBot="1" x14ac:dyDescent="0.3">
      <c r="B16" s="12" t="s">
        <v>6</v>
      </c>
      <c r="C16" s="14">
        <f>SUMPRODUCT(B6:B12, P6:P12, T6:T12) / SUMPRODUCT(B6:B12, P6:P12)</f>
        <v>18.304608081256045</v>
      </c>
      <c r="T16" s="1" t="s">
        <v>6</v>
      </c>
      <c r="V16" s="1">
        <f>V15/U15</f>
        <v>17.87590124287194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36256-C43A-4466-AC42-ED54C687B48E}">
  <dimension ref="A4:S51"/>
  <sheetViews>
    <sheetView tabSelected="1" workbookViewId="0">
      <selection activeCell="J45" sqref="J45"/>
    </sheetView>
  </sheetViews>
  <sheetFormatPr defaultRowHeight="15" x14ac:dyDescent="0.25"/>
  <cols>
    <col min="1" max="15" width="14.85546875" customWidth="1"/>
    <col min="16" max="16" width="13" customWidth="1"/>
  </cols>
  <sheetData>
    <row r="4" spans="1:19" x14ac:dyDescent="0.25">
      <c r="A4" s="1" t="s">
        <v>49</v>
      </c>
      <c r="I4" s="15" t="s">
        <v>76</v>
      </c>
      <c r="J4" s="16"/>
      <c r="K4" s="16"/>
      <c r="L4" s="16"/>
      <c r="M4" s="16"/>
      <c r="N4" s="16"/>
      <c r="O4" s="16"/>
      <c r="P4" s="17"/>
    </row>
    <row r="5" spans="1:19" s="8" customFormat="1" ht="60" x14ac:dyDescent="0.25">
      <c r="B5" s="8" t="s">
        <v>0</v>
      </c>
      <c r="C5" s="8" t="s">
        <v>24</v>
      </c>
      <c r="D5" s="8" t="s">
        <v>4</v>
      </c>
      <c r="E5" s="8" t="s">
        <v>18</v>
      </c>
      <c r="F5" s="8" t="s">
        <v>2</v>
      </c>
      <c r="G5" s="8" t="s">
        <v>5</v>
      </c>
      <c r="H5" s="8" t="s">
        <v>3</v>
      </c>
      <c r="I5" s="18" t="s">
        <v>43</v>
      </c>
      <c r="J5" s="19" t="s">
        <v>47</v>
      </c>
      <c r="K5" s="19" t="s">
        <v>77</v>
      </c>
      <c r="L5" s="19" t="s">
        <v>22</v>
      </c>
      <c r="M5" s="19" t="s">
        <v>32</v>
      </c>
      <c r="N5" s="19" t="s">
        <v>19</v>
      </c>
      <c r="O5" s="19" t="s">
        <v>39</v>
      </c>
      <c r="P5" s="20" t="s">
        <v>38</v>
      </c>
    </row>
    <row r="6" spans="1:19" x14ac:dyDescent="0.25">
      <c r="A6" t="s">
        <v>9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21">
        <f t="shared" ref="I6:I12" si="0">MAX((F6-D6)*H6 - (E6-D6)*G6, 0)</f>
        <v>100000</v>
      </c>
      <c r="J6" s="29">
        <f>C6/B6</f>
        <v>500000</v>
      </c>
      <c r="K6" s="48">
        <f>J6/I6</f>
        <v>5</v>
      </c>
      <c r="L6" s="23">
        <f t="shared" ref="L6:L12" si="1">WACC/(1-(1+WACC)^-(F6-D6))</f>
        <v>4.6550200449541529E-2</v>
      </c>
      <c r="M6" s="23">
        <f t="shared" ref="M6:M12" si="2">Overheads</f>
        <v>1.7999999999999999E-2</v>
      </c>
      <c r="N6" s="32">
        <f t="shared" ref="N6:N12" si="3">K6*(F6-D6)*(L6+M6)</f>
        <v>16.137550112385384</v>
      </c>
      <c r="O6" s="22">
        <f>$B6*I6</f>
        <v>1000000</v>
      </c>
      <c r="P6" s="24">
        <f>$B6*I6*N6</f>
        <v>16137550.112385383</v>
      </c>
      <c r="R6" s="4"/>
      <c r="S6" s="46"/>
    </row>
    <row r="7" spans="1:19" x14ac:dyDescent="0.25">
      <c r="A7" t="s">
        <v>31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21">
        <f t="shared" si="0"/>
        <v>125000</v>
      </c>
      <c r="J7" s="29">
        <f t="shared" ref="J7:J12" si="4">C7/B7</f>
        <v>550000</v>
      </c>
      <c r="K7" s="48">
        <f t="shared" ref="K7:K12" si="5">J7/I7</f>
        <v>4.4000000000000004</v>
      </c>
      <c r="L7" s="23">
        <f t="shared" si="1"/>
        <v>4.6550200449541529E-2</v>
      </c>
      <c r="M7" s="23">
        <f t="shared" si="2"/>
        <v>1.7999999999999999E-2</v>
      </c>
      <c r="N7" s="32">
        <f t="shared" si="3"/>
        <v>14.201044098899139</v>
      </c>
      <c r="O7" s="22">
        <f t="shared" ref="O7:O12" si="6">$B7*I7</f>
        <v>2500000</v>
      </c>
      <c r="P7" s="24">
        <f t="shared" ref="P7:P12" si="7">$B7*I7*N7</f>
        <v>35502610.247247845</v>
      </c>
      <c r="R7" s="4"/>
      <c r="S7" s="46"/>
    </row>
    <row r="8" spans="1:19" x14ac:dyDescent="0.25">
      <c r="A8" t="s">
        <v>10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21">
        <f t="shared" si="0"/>
        <v>135000</v>
      </c>
      <c r="J8" s="29">
        <f t="shared" si="4"/>
        <v>575000</v>
      </c>
      <c r="K8" s="48">
        <f t="shared" si="5"/>
        <v>4.2592592592592595</v>
      </c>
      <c r="L8" s="23">
        <f t="shared" si="1"/>
        <v>4.6550200449541529E-2</v>
      </c>
      <c r="M8" s="23">
        <f t="shared" si="2"/>
        <v>1.7999999999999999E-2</v>
      </c>
      <c r="N8" s="32">
        <f t="shared" si="3"/>
        <v>13.746801947587549</v>
      </c>
      <c r="O8" s="22">
        <f t="shared" si="6"/>
        <v>2025000</v>
      </c>
      <c r="P8" s="24">
        <f t="shared" si="7"/>
        <v>27837273.943864789</v>
      </c>
      <c r="R8" s="4"/>
      <c r="S8" s="46"/>
    </row>
    <row r="9" spans="1:19" x14ac:dyDescent="0.25">
      <c r="A9" t="s">
        <v>11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21">
        <f t="shared" si="0"/>
        <v>156000</v>
      </c>
      <c r="J9" s="29">
        <f t="shared" si="4"/>
        <v>700000</v>
      </c>
      <c r="K9" s="48">
        <f t="shared" si="5"/>
        <v>4.4871794871794872</v>
      </c>
      <c r="L9" s="23">
        <f t="shared" si="1"/>
        <v>4.6550200449541529E-2</v>
      </c>
      <c r="M9" s="23">
        <f t="shared" si="2"/>
        <v>1.7999999999999999E-2</v>
      </c>
      <c r="N9" s="32">
        <f t="shared" si="3"/>
        <v>14.482416767525343</v>
      </c>
      <c r="O9" s="22">
        <f t="shared" si="6"/>
        <v>11700000</v>
      </c>
      <c r="P9" s="24">
        <f t="shared" si="7"/>
        <v>169444276.18004653</v>
      </c>
      <c r="R9" s="4"/>
      <c r="S9" s="46"/>
    </row>
    <row r="10" spans="1:19" x14ac:dyDescent="0.25">
      <c r="A10" t="s">
        <v>12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21">
        <f t="shared" si="0"/>
        <v>10000</v>
      </c>
      <c r="J10" s="29">
        <f t="shared" si="4"/>
        <v>250000</v>
      </c>
      <c r="K10" s="48">
        <f t="shared" si="5"/>
        <v>25</v>
      </c>
      <c r="L10" s="23">
        <f t="shared" si="1"/>
        <v>7.3581750328628834E-2</v>
      </c>
      <c r="M10" s="23">
        <f t="shared" si="2"/>
        <v>1.7999999999999999E-2</v>
      </c>
      <c r="N10" s="32">
        <f t="shared" si="3"/>
        <v>45.790875164314421</v>
      </c>
      <c r="O10" s="22">
        <f t="shared" si="6"/>
        <v>750000</v>
      </c>
      <c r="P10" s="24">
        <f t="shared" si="7"/>
        <v>34343156.373235814</v>
      </c>
      <c r="R10" s="4"/>
      <c r="S10" s="46"/>
    </row>
    <row r="11" spans="1:19" x14ac:dyDescent="0.25">
      <c r="A11" t="s">
        <v>13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21">
        <f t="shared" si="0"/>
        <v>35000</v>
      </c>
      <c r="J11" s="29">
        <f t="shared" si="4"/>
        <v>150000</v>
      </c>
      <c r="K11" s="48">
        <f t="shared" si="5"/>
        <v>4.2857142857142856</v>
      </c>
      <c r="L11" s="23">
        <f t="shared" si="1"/>
        <v>5.78300991336613E-2</v>
      </c>
      <c r="M11" s="23">
        <f t="shared" si="2"/>
        <v>1.7999999999999999E-2</v>
      </c>
      <c r="N11" s="32">
        <f t="shared" si="3"/>
        <v>9.7495841743278806</v>
      </c>
      <c r="O11" s="22">
        <f t="shared" si="6"/>
        <v>1750000</v>
      </c>
      <c r="P11" s="24">
        <f t="shared" si="7"/>
        <v>17061772.30507379</v>
      </c>
      <c r="R11" s="4"/>
      <c r="S11" s="46"/>
    </row>
    <row r="12" spans="1:19" x14ac:dyDescent="0.25">
      <c r="A12" t="s">
        <v>14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25">
        <f t="shared" si="0"/>
        <v>65000</v>
      </c>
      <c r="J12" s="47">
        <f t="shared" si="4"/>
        <v>175000</v>
      </c>
      <c r="K12" s="49">
        <f t="shared" si="5"/>
        <v>2.6923076923076925</v>
      </c>
      <c r="L12" s="27">
        <f t="shared" si="1"/>
        <v>6.401196278645456E-2</v>
      </c>
      <c r="M12" s="27">
        <f t="shared" si="2"/>
        <v>1.7999999999999999E-2</v>
      </c>
      <c r="N12" s="33">
        <f t="shared" si="3"/>
        <v>5.5200359567805952</v>
      </c>
      <c r="O12" s="26">
        <f t="shared" si="6"/>
        <v>22750000</v>
      </c>
      <c r="P12" s="28">
        <f t="shared" si="7"/>
        <v>125580818.01675855</v>
      </c>
      <c r="R12" s="4"/>
      <c r="S12" s="46"/>
    </row>
    <row r="14" spans="1:19" ht="15.75" thickBot="1" x14ac:dyDescent="0.3">
      <c r="N14" s="4" t="s">
        <v>30</v>
      </c>
      <c r="O14" s="4">
        <f>SUM(O6:O12)</f>
        <v>42475000</v>
      </c>
      <c r="P14" s="4">
        <f>SUM(P6:P12)</f>
        <v>425907457.17861271</v>
      </c>
    </row>
    <row r="15" spans="1:19" ht="15.75" thickBot="1" x14ac:dyDescent="0.3">
      <c r="B15" s="43"/>
      <c r="C15" s="44"/>
      <c r="N15" s="12" t="s">
        <v>61</v>
      </c>
      <c r="O15" s="54"/>
      <c r="P15" s="55">
        <f>P14/O14</f>
        <v>10.02725031615333</v>
      </c>
    </row>
    <row r="17" spans="1:16" x14ac:dyDescent="0.25">
      <c r="A17" s="1" t="s">
        <v>48</v>
      </c>
      <c r="B17" s="4"/>
      <c r="C17" s="5"/>
    </row>
    <row r="18" spans="1:16" x14ac:dyDescent="0.25">
      <c r="B18" s="4"/>
      <c r="C18" s="5"/>
    </row>
    <row r="19" spans="1:16" ht="60" x14ac:dyDescent="0.25">
      <c r="A19" s="8"/>
      <c r="B19" s="8" t="s">
        <v>50</v>
      </c>
      <c r="C19" s="8" t="s">
        <v>24</v>
      </c>
      <c r="D19" s="8" t="s">
        <v>4</v>
      </c>
      <c r="E19" s="8" t="s">
        <v>18</v>
      </c>
      <c r="F19" s="8" t="s">
        <v>2</v>
      </c>
      <c r="G19" s="8" t="s">
        <v>5</v>
      </c>
      <c r="H19" s="8" t="s">
        <v>3</v>
      </c>
      <c r="I19" s="51" t="s">
        <v>43</v>
      </c>
      <c r="J19" s="52" t="s">
        <v>51</v>
      </c>
      <c r="K19" s="52" t="s">
        <v>78</v>
      </c>
      <c r="L19" s="52" t="s">
        <v>22</v>
      </c>
      <c r="M19" s="52" t="s">
        <v>32</v>
      </c>
      <c r="N19" s="52" t="s">
        <v>52</v>
      </c>
      <c r="O19" s="52" t="s">
        <v>53</v>
      </c>
      <c r="P19" s="53" t="s">
        <v>54</v>
      </c>
    </row>
    <row r="20" spans="1:16" x14ac:dyDescent="0.25">
      <c r="A20" t="s">
        <v>56</v>
      </c>
      <c r="B20" s="3">
        <v>1</v>
      </c>
      <c r="C20" s="3">
        <v>4000000</v>
      </c>
      <c r="D20" s="2">
        <v>0</v>
      </c>
      <c r="E20" s="2">
        <v>0</v>
      </c>
      <c r="F20" s="3">
        <v>50</v>
      </c>
      <c r="G20" s="3">
        <v>0</v>
      </c>
      <c r="H20" s="3">
        <v>750</v>
      </c>
      <c r="I20" s="21">
        <f t="shared" ref="I20:I24" si="8">MAX((F20-D20)*H20 - (E20-D20)*G20, 0)</f>
        <v>37500</v>
      </c>
      <c r="J20" s="29">
        <f>C20/B20</f>
        <v>4000000</v>
      </c>
      <c r="K20" s="48">
        <f>J20/I20</f>
        <v>106.66666666666667</v>
      </c>
      <c r="L20" s="23">
        <f t="shared" ref="L20:L23" si="9">WACC/(1-(1+WACC)^-(F20-D20))</f>
        <v>4.6550200449541529E-2</v>
      </c>
      <c r="M20" s="23">
        <f t="shared" ref="M20:M24" si="10">Overheads</f>
        <v>1.7999999999999999E-2</v>
      </c>
      <c r="N20" s="32">
        <f t="shared" ref="N20:N23" si="11">K20*(F20-D20)*(L20+M20)</f>
        <v>344.26773573088821</v>
      </c>
      <c r="O20" s="22">
        <f>$B20*I20</f>
        <v>37500</v>
      </c>
      <c r="P20" s="24">
        <f>$B20*I20*N20</f>
        <v>12910040.089908307</v>
      </c>
    </row>
    <row r="21" spans="1:16" x14ac:dyDescent="0.25">
      <c r="A21" t="s">
        <v>57</v>
      </c>
      <c r="B21" s="3">
        <v>1</v>
      </c>
      <c r="C21" s="3">
        <v>4500000</v>
      </c>
      <c r="D21" s="2">
        <v>0</v>
      </c>
      <c r="E21" s="2">
        <v>0</v>
      </c>
      <c r="F21" s="3">
        <v>50</v>
      </c>
      <c r="G21" s="3">
        <v>0</v>
      </c>
      <c r="H21" s="3">
        <v>1000</v>
      </c>
      <c r="I21" s="21">
        <f t="shared" si="8"/>
        <v>50000</v>
      </c>
      <c r="J21" s="29">
        <f t="shared" ref="J21:J24" si="12">C21/B21</f>
        <v>4500000</v>
      </c>
      <c r="K21" s="48">
        <f t="shared" ref="K21:K24" si="13">J21/I21</f>
        <v>90</v>
      </c>
      <c r="L21" s="23">
        <f t="shared" si="9"/>
        <v>4.6550200449541529E-2</v>
      </c>
      <c r="M21" s="23">
        <f t="shared" si="10"/>
        <v>1.7999999999999999E-2</v>
      </c>
      <c r="N21" s="32">
        <f t="shared" si="11"/>
        <v>290.47590202293691</v>
      </c>
      <c r="O21" s="22">
        <f t="shared" ref="O21:O23" si="14">$B21*I21</f>
        <v>50000</v>
      </c>
      <c r="P21" s="24">
        <f t="shared" ref="P21:P23" si="15">$B21*I21*N21</f>
        <v>14523795.101146845</v>
      </c>
    </row>
    <row r="22" spans="1:16" x14ac:dyDescent="0.25">
      <c r="A22" t="s">
        <v>58</v>
      </c>
      <c r="B22" s="3">
        <v>1</v>
      </c>
      <c r="C22" s="3">
        <v>6000000</v>
      </c>
      <c r="D22" s="2">
        <v>0</v>
      </c>
      <c r="E22" s="2">
        <v>0</v>
      </c>
      <c r="F22" s="3">
        <v>50</v>
      </c>
      <c r="G22" s="3">
        <v>0</v>
      </c>
      <c r="H22" s="3">
        <v>1200</v>
      </c>
      <c r="I22" s="21">
        <f t="shared" si="8"/>
        <v>60000</v>
      </c>
      <c r="J22" s="29">
        <f t="shared" si="12"/>
        <v>6000000</v>
      </c>
      <c r="K22" s="48">
        <f t="shared" si="13"/>
        <v>100</v>
      </c>
      <c r="L22" s="23">
        <f t="shared" si="9"/>
        <v>4.6550200449541529E-2</v>
      </c>
      <c r="M22" s="23">
        <f t="shared" si="10"/>
        <v>1.7999999999999999E-2</v>
      </c>
      <c r="N22" s="32">
        <f t="shared" si="11"/>
        <v>322.75100224770767</v>
      </c>
      <c r="O22" s="22">
        <f t="shared" si="14"/>
        <v>60000</v>
      </c>
      <c r="P22" s="24">
        <f t="shared" si="15"/>
        <v>19365060.13486246</v>
      </c>
    </row>
    <row r="23" spans="1:16" x14ac:dyDescent="0.25">
      <c r="A23" t="s">
        <v>59</v>
      </c>
      <c r="B23" s="3">
        <v>1</v>
      </c>
      <c r="C23" s="3">
        <v>4500000</v>
      </c>
      <c r="D23" s="2">
        <v>0</v>
      </c>
      <c r="E23" s="2">
        <v>0</v>
      </c>
      <c r="F23" s="3">
        <v>50</v>
      </c>
      <c r="G23" s="3">
        <v>0</v>
      </c>
      <c r="H23" s="3">
        <v>750</v>
      </c>
      <c r="I23" s="21">
        <f t="shared" si="8"/>
        <v>37500</v>
      </c>
      <c r="J23" s="29">
        <f t="shared" si="12"/>
        <v>4500000</v>
      </c>
      <c r="K23" s="48">
        <f t="shared" si="13"/>
        <v>120</v>
      </c>
      <c r="L23" s="23">
        <f t="shared" si="9"/>
        <v>4.6550200449541529E-2</v>
      </c>
      <c r="M23" s="23">
        <f t="shared" si="10"/>
        <v>1.7999999999999999E-2</v>
      </c>
      <c r="N23" s="32">
        <f t="shared" si="11"/>
        <v>387.30120269724921</v>
      </c>
      <c r="O23" s="22">
        <f t="shared" si="14"/>
        <v>37500</v>
      </c>
      <c r="P23" s="24">
        <f t="shared" si="15"/>
        <v>14523795.101146845</v>
      </c>
    </row>
    <row r="24" spans="1:16" x14ac:dyDescent="0.25">
      <c r="A24" t="s">
        <v>60</v>
      </c>
      <c r="B24" s="3">
        <v>1</v>
      </c>
      <c r="C24" s="3">
        <v>2000000</v>
      </c>
      <c r="D24" s="2">
        <v>45</v>
      </c>
      <c r="E24" s="2">
        <v>50</v>
      </c>
      <c r="F24" s="3">
        <v>70</v>
      </c>
      <c r="G24" s="3">
        <v>750</v>
      </c>
      <c r="H24" s="3">
        <v>750</v>
      </c>
      <c r="I24" s="25">
        <f t="shared" si="8"/>
        <v>15000</v>
      </c>
      <c r="J24" s="47">
        <f t="shared" si="12"/>
        <v>2000000</v>
      </c>
      <c r="K24" s="49">
        <f t="shared" si="13"/>
        <v>133.33333333333334</v>
      </c>
      <c r="L24" s="27">
        <f t="shared" ref="L24" si="16">WACC/(1-(1+WACC)^-(F24-D24))</f>
        <v>6.401196278645456E-2</v>
      </c>
      <c r="M24" s="27">
        <f t="shared" si="10"/>
        <v>1.7999999999999999E-2</v>
      </c>
      <c r="N24" s="33">
        <f t="shared" ref="N24" si="17">K24*(F24-D24)*(L24+M24)</f>
        <v>273.3732092881819</v>
      </c>
      <c r="O24" s="26">
        <f t="shared" ref="O24" si="18">$B24*I24</f>
        <v>15000</v>
      </c>
      <c r="P24" s="28">
        <f t="shared" ref="P24" si="19">$B24*I24*N24</f>
        <v>4100598.1393227284</v>
      </c>
    </row>
    <row r="25" spans="1:16" x14ac:dyDescent="0.25">
      <c r="B25" s="50"/>
      <c r="C25" s="6"/>
      <c r="D25" s="50"/>
      <c r="E25" s="50"/>
      <c r="F25" s="50"/>
      <c r="G25" s="6"/>
      <c r="H25" s="6"/>
      <c r="I25" s="22"/>
      <c r="J25" s="29"/>
      <c r="K25" s="48"/>
      <c r="L25" s="23"/>
      <c r="M25" s="23"/>
      <c r="N25" s="32"/>
      <c r="O25" s="22"/>
      <c r="P25" s="22"/>
    </row>
    <row r="26" spans="1:16" ht="15.75" thickBot="1" x14ac:dyDescent="0.3">
      <c r="B26" s="50"/>
      <c r="C26" s="6"/>
      <c r="D26" s="50"/>
      <c r="E26" s="50"/>
      <c r="F26" s="50"/>
      <c r="G26" s="6"/>
      <c r="H26" s="6"/>
      <c r="I26" s="22"/>
      <c r="J26" s="29"/>
      <c r="K26" s="48"/>
      <c r="L26" s="23"/>
      <c r="M26" s="23"/>
      <c r="N26" s="32" t="s">
        <v>55</v>
      </c>
      <c r="O26" s="22">
        <f>SUM(O20:O24)</f>
        <v>200000</v>
      </c>
      <c r="P26" s="22">
        <f>SUM(P20:P24)</f>
        <v>65423288.566387191</v>
      </c>
    </row>
    <row r="27" spans="1:16" ht="15.75" thickBot="1" x14ac:dyDescent="0.3">
      <c r="N27" s="12" t="s">
        <v>62</v>
      </c>
      <c r="O27" s="56"/>
      <c r="P27" s="13">
        <f>P26/O26</f>
        <v>327.11644283193596</v>
      </c>
    </row>
    <row r="29" spans="1:16" x14ac:dyDescent="0.25">
      <c r="A29" s="1" t="s">
        <v>63</v>
      </c>
    </row>
    <row r="31" spans="1:16" ht="60" x14ac:dyDescent="0.25">
      <c r="A31" s="8"/>
      <c r="B31" s="8" t="s">
        <v>50</v>
      </c>
      <c r="C31" s="8" t="s">
        <v>24</v>
      </c>
      <c r="D31" s="8" t="s">
        <v>4</v>
      </c>
      <c r="E31" s="8" t="s">
        <v>18</v>
      </c>
      <c r="F31" s="8" t="s">
        <v>2</v>
      </c>
      <c r="G31" s="8" t="s">
        <v>5</v>
      </c>
      <c r="H31" s="8" t="s">
        <v>68</v>
      </c>
      <c r="I31" s="51" t="s">
        <v>43</v>
      </c>
      <c r="J31" s="52" t="s">
        <v>51</v>
      </c>
      <c r="K31" s="52" t="s">
        <v>78</v>
      </c>
      <c r="L31" s="52" t="s">
        <v>22</v>
      </c>
      <c r="M31" s="52" t="s">
        <v>32</v>
      </c>
      <c r="N31" s="52" t="s">
        <v>52</v>
      </c>
      <c r="O31" s="52" t="s">
        <v>53</v>
      </c>
      <c r="P31" s="53" t="s">
        <v>54</v>
      </c>
    </row>
    <row r="32" spans="1:16" x14ac:dyDescent="0.25">
      <c r="A32" t="s">
        <v>64</v>
      </c>
      <c r="B32" s="3">
        <v>1</v>
      </c>
      <c r="C32" s="3">
        <v>1800000</v>
      </c>
      <c r="D32" s="2">
        <v>0</v>
      </c>
      <c r="E32" s="2">
        <v>0</v>
      </c>
      <c r="F32" s="3">
        <v>50</v>
      </c>
      <c r="G32" s="3">
        <v>0</v>
      </c>
      <c r="H32" s="3">
        <v>847</v>
      </c>
      <c r="I32" s="21">
        <f t="shared" ref="I32:I36" si="20">MAX((F32-D32)*H32 - (E32-D32)*G32, 0)</f>
        <v>42350</v>
      </c>
      <c r="J32" s="29">
        <f>C32/B32</f>
        <v>1800000</v>
      </c>
      <c r="K32" s="48">
        <f>J32/I32</f>
        <v>42.502951593860686</v>
      </c>
      <c r="L32" s="23">
        <f t="shared" ref="L32:L36" si="21">WACC/(1-(1+WACC)^-(F32-D32))</f>
        <v>4.6550200449541529E-2</v>
      </c>
      <c r="M32" s="23">
        <f t="shared" ref="M32:M36" si="22">Overheads</f>
        <v>1.7999999999999999E-2</v>
      </c>
      <c r="N32" s="32">
        <f t="shared" ref="N32:N36" si="23">K32*(F32-D32)*(L32+M32)</f>
        <v>137.1787022540434</v>
      </c>
      <c r="O32" s="22">
        <f>$B32*I32</f>
        <v>42350</v>
      </c>
      <c r="P32" s="24">
        <f>$B32*I32*N32</f>
        <v>5809518.0404587379</v>
      </c>
    </row>
    <row r="33" spans="1:16" x14ac:dyDescent="0.25">
      <c r="A33" t="s">
        <v>65</v>
      </c>
      <c r="B33" s="3">
        <v>1</v>
      </c>
      <c r="C33" s="3">
        <v>1700000</v>
      </c>
      <c r="D33" s="2">
        <v>0</v>
      </c>
      <c r="E33" s="2">
        <v>0</v>
      </c>
      <c r="F33" s="3">
        <v>50</v>
      </c>
      <c r="G33" s="3">
        <v>0</v>
      </c>
      <c r="H33" s="3">
        <v>847</v>
      </c>
      <c r="I33" s="21">
        <f t="shared" si="20"/>
        <v>42350</v>
      </c>
      <c r="J33" s="29">
        <f t="shared" ref="J33:J36" si="24">C33/B33</f>
        <v>1700000</v>
      </c>
      <c r="K33" s="48">
        <f t="shared" ref="K33:K36" si="25">J33/I33</f>
        <v>40.141676505312866</v>
      </c>
      <c r="L33" s="23">
        <f t="shared" si="21"/>
        <v>4.6550200449541529E-2</v>
      </c>
      <c r="M33" s="23">
        <f t="shared" si="22"/>
        <v>1.7999999999999999E-2</v>
      </c>
      <c r="N33" s="32">
        <f t="shared" si="23"/>
        <v>129.55766323992987</v>
      </c>
      <c r="O33" s="22">
        <f t="shared" ref="O33:O36" si="26">$B33*I33</f>
        <v>42350</v>
      </c>
      <c r="P33" s="24">
        <f t="shared" ref="P33:P36" si="27">$B33*I33*N33</f>
        <v>5486767.03821103</v>
      </c>
    </row>
    <row r="34" spans="1:16" x14ac:dyDescent="0.25">
      <c r="A34" t="s">
        <v>66</v>
      </c>
      <c r="B34" s="3">
        <v>1</v>
      </c>
      <c r="C34" s="3">
        <v>3000000</v>
      </c>
      <c r="D34" s="2">
        <v>0</v>
      </c>
      <c r="E34" s="2">
        <v>0</v>
      </c>
      <c r="F34" s="3">
        <v>50</v>
      </c>
      <c r="G34" s="3">
        <v>0</v>
      </c>
      <c r="H34" s="3">
        <v>847</v>
      </c>
      <c r="I34" s="21">
        <f t="shared" si="20"/>
        <v>42350</v>
      </c>
      <c r="J34" s="29">
        <f t="shared" si="24"/>
        <v>3000000</v>
      </c>
      <c r="K34" s="48">
        <f t="shared" si="25"/>
        <v>70.838252656434477</v>
      </c>
      <c r="L34" s="23">
        <f t="shared" si="21"/>
        <v>4.6550200449541529E-2</v>
      </c>
      <c r="M34" s="23">
        <f t="shared" si="22"/>
        <v>1.7999999999999999E-2</v>
      </c>
      <c r="N34" s="32">
        <f t="shared" si="23"/>
        <v>228.63117042340568</v>
      </c>
      <c r="O34" s="22">
        <f t="shared" si="26"/>
        <v>42350</v>
      </c>
      <c r="P34" s="24">
        <f t="shared" si="27"/>
        <v>9682530.0674312301</v>
      </c>
    </row>
    <row r="35" spans="1:16" x14ac:dyDescent="0.25">
      <c r="A35" t="s">
        <v>67</v>
      </c>
      <c r="B35" s="3">
        <v>1</v>
      </c>
      <c r="C35" s="3">
        <v>4500000</v>
      </c>
      <c r="D35" s="2">
        <v>0</v>
      </c>
      <c r="E35" s="2">
        <v>0</v>
      </c>
      <c r="F35" s="3">
        <v>50</v>
      </c>
      <c r="G35" s="3">
        <v>0</v>
      </c>
      <c r="H35" s="3">
        <v>847</v>
      </c>
      <c r="I35" s="21">
        <f t="shared" si="20"/>
        <v>42350</v>
      </c>
      <c r="J35" s="29">
        <f t="shared" si="24"/>
        <v>4500000</v>
      </c>
      <c r="K35" s="48">
        <f t="shared" si="25"/>
        <v>106.25737898465171</v>
      </c>
      <c r="L35" s="23">
        <f t="shared" si="21"/>
        <v>4.6550200449541529E-2</v>
      </c>
      <c r="M35" s="23">
        <f t="shared" si="22"/>
        <v>1.7999999999999999E-2</v>
      </c>
      <c r="N35" s="32">
        <f t="shared" si="23"/>
        <v>342.9467556351085</v>
      </c>
      <c r="O35" s="22">
        <f t="shared" si="26"/>
        <v>42350</v>
      </c>
      <c r="P35" s="24">
        <f t="shared" si="27"/>
        <v>14523795.101146845</v>
      </c>
    </row>
    <row r="36" spans="1:16" x14ac:dyDescent="0.25">
      <c r="A36" t="s">
        <v>60</v>
      </c>
      <c r="B36" s="3">
        <v>1</v>
      </c>
      <c r="C36" s="3">
        <v>50000</v>
      </c>
      <c r="D36" s="2">
        <v>45</v>
      </c>
      <c r="E36" s="2">
        <v>50</v>
      </c>
      <c r="F36" s="3">
        <v>70</v>
      </c>
      <c r="G36" s="3">
        <v>847</v>
      </c>
      <c r="H36" s="3">
        <v>847</v>
      </c>
      <c r="I36" s="25">
        <f t="shared" si="20"/>
        <v>16940</v>
      </c>
      <c r="J36" s="47">
        <f t="shared" si="24"/>
        <v>50000</v>
      </c>
      <c r="K36" s="49">
        <f t="shared" si="25"/>
        <v>2.9515938606847696</v>
      </c>
      <c r="L36" s="27">
        <f t="shared" si="21"/>
        <v>6.401196278645456E-2</v>
      </c>
      <c r="M36" s="27">
        <f t="shared" si="22"/>
        <v>1.7999999999999999E-2</v>
      </c>
      <c r="N36" s="33">
        <f t="shared" si="23"/>
        <v>6.0516501465801769</v>
      </c>
      <c r="O36" s="26">
        <f t="shared" si="26"/>
        <v>16940</v>
      </c>
      <c r="P36" s="28">
        <f t="shared" si="27"/>
        <v>102514.9534830682</v>
      </c>
    </row>
    <row r="38" spans="1:16" ht="15.75" thickBot="1" x14ac:dyDescent="0.3">
      <c r="N38" s="32" t="s">
        <v>55</v>
      </c>
      <c r="O38" s="22">
        <f>SUM(O32:O36)</f>
        <v>186340</v>
      </c>
      <c r="P38" s="22">
        <f>SUM(P32:P36)</f>
        <v>35605125.200730912</v>
      </c>
    </row>
    <row r="39" spans="1:16" ht="15.75" thickBot="1" x14ac:dyDescent="0.3">
      <c r="N39" s="12" t="s">
        <v>69</v>
      </c>
      <c r="O39" s="56"/>
      <c r="P39" s="13">
        <f>P38/O38</f>
        <v>191.07612536616352</v>
      </c>
    </row>
    <row r="42" spans="1:16" x14ac:dyDescent="0.25">
      <c r="A42" t="s">
        <v>70</v>
      </c>
    </row>
    <row r="45" spans="1:16" x14ac:dyDescent="0.25">
      <c r="C45" t="s">
        <v>71</v>
      </c>
      <c r="D45" s="2">
        <v>0.13</v>
      </c>
    </row>
    <row r="46" spans="1:16" x14ac:dyDescent="0.25">
      <c r="C46" t="s">
        <v>75</v>
      </c>
      <c r="D46" s="2">
        <v>14.56</v>
      </c>
    </row>
    <row r="47" spans="1:16" x14ac:dyDescent="0.25">
      <c r="C47" t="s">
        <v>72</v>
      </c>
      <c r="D47" s="2">
        <v>10.029999999999999</v>
      </c>
    </row>
    <row r="48" spans="1:16" x14ac:dyDescent="0.25">
      <c r="C48" t="s">
        <v>73</v>
      </c>
      <c r="D48" s="2">
        <v>150</v>
      </c>
    </row>
    <row r="49" spans="3:4" x14ac:dyDescent="0.25">
      <c r="C49" t="s">
        <v>74</v>
      </c>
      <c r="D49" s="2">
        <v>160</v>
      </c>
    </row>
    <row r="50" spans="3:4" ht="15.75" thickBot="1" x14ac:dyDescent="0.3"/>
    <row r="51" spans="3:4" ht="15.75" thickBot="1" x14ac:dyDescent="0.3">
      <c r="C51" s="57" t="s">
        <v>6</v>
      </c>
      <c r="D51" s="58">
        <f>IF(D47&gt;0, D45*D47 + (1-D45) *D46*D49/D48, D46*D49/D48)</f>
        <v>14.815580000000002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5E9F-FAAA-4EAF-81AD-07FEFDF26765}">
  <dimension ref="A4:AD17"/>
  <sheetViews>
    <sheetView topLeftCell="A18" workbookViewId="0">
      <selection activeCell="S11" sqref="S11"/>
    </sheetView>
  </sheetViews>
  <sheetFormatPr defaultRowHeight="15" x14ac:dyDescent="0.25"/>
  <cols>
    <col min="2" max="2" width="17.7109375" bestFit="1" customWidth="1"/>
    <col min="3" max="3" width="10.140625" bestFit="1" customWidth="1"/>
    <col min="10" max="10" width="11.5703125" customWidth="1"/>
    <col min="12" max="12" width="12.42578125" customWidth="1"/>
    <col min="13" max="13" width="9.42578125" customWidth="1"/>
    <col min="15" max="15" width="10.140625" bestFit="1" customWidth="1"/>
    <col min="16" max="16" width="11.140625" bestFit="1" customWidth="1"/>
    <col min="17" max="17" width="15.5703125" bestFit="1" customWidth="1"/>
    <col min="18" max="18" width="15.5703125" customWidth="1"/>
    <col min="19" max="19" width="15" customWidth="1"/>
    <col min="20" max="20" width="8.42578125" bestFit="1" customWidth="1"/>
    <col min="21" max="21" width="9.7109375" customWidth="1"/>
    <col min="22" max="22" width="17.7109375" bestFit="1" customWidth="1"/>
    <col min="23" max="23" width="10.140625" bestFit="1" customWidth="1"/>
    <col min="24" max="24" width="11.85546875" bestFit="1" customWidth="1"/>
    <col min="29" max="29" width="11.85546875" bestFit="1" customWidth="1"/>
  </cols>
  <sheetData>
    <row r="4" spans="1:30" x14ac:dyDescent="0.25">
      <c r="A4" s="1"/>
      <c r="I4" s="34" t="s">
        <v>40</v>
      </c>
      <c r="J4" s="40"/>
      <c r="K4" s="35"/>
      <c r="L4" s="35"/>
      <c r="M4" s="35"/>
      <c r="N4" s="35"/>
      <c r="O4" s="35"/>
      <c r="P4" s="36"/>
      <c r="Q4" s="37" t="s">
        <v>42</v>
      </c>
      <c r="R4" s="41"/>
      <c r="S4" s="38"/>
      <c r="T4" s="38"/>
      <c r="U4" s="38"/>
      <c r="V4" s="38"/>
      <c r="W4" s="38"/>
      <c r="X4" s="39"/>
      <c r="AB4" s="1"/>
    </row>
    <row r="5" spans="1:30" ht="75" x14ac:dyDescent="0.25">
      <c r="A5" s="8"/>
      <c r="B5" s="8" t="s">
        <v>0</v>
      </c>
      <c r="C5" s="8" t="s">
        <v>24</v>
      </c>
      <c r="D5" s="8" t="s">
        <v>4</v>
      </c>
      <c r="E5" s="8" t="s">
        <v>18</v>
      </c>
      <c r="F5" s="8" t="s">
        <v>2</v>
      </c>
      <c r="G5" s="8" t="s">
        <v>5</v>
      </c>
      <c r="H5" s="8" t="s">
        <v>3</v>
      </c>
      <c r="I5" s="18" t="s">
        <v>41</v>
      </c>
      <c r="J5" s="19" t="s">
        <v>44</v>
      </c>
      <c r="K5" s="19" t="s">
        <v>23</v>
      </c>
      <c r="L5" s="19" t="s">
        <v>27</v>
      </c>
      <c r="M5" s="19" t="s">
        <v>46</v>
      </c>
      <c r="N5" s="19" t="s">
        <v>19</v>
      </c>
      <c r="O5" s="19" t="s">
        <v>39</v>
      </c>
      <c r="P5" s="20" t="s">
        <v>38</v>
      </c>
      <c r="Q5" s="18" t="s">
        <v>43</v>
      </c>
      <c r="R5" s="19" t="s">
        <v>45</v>
      </c>
      <c r="S5" s="19" t="s">
        <v>23</v>
      </c>
      <c r="T5" s="19" t="s">
        <v>27</v>
      </c>
      <c r="U5" s="19" t="s">
        <v>46</v>
      </c>
      <c r="V5" s="19" t="s">
        <v>19</v>
      </c>
      <c r="W5" s="19" t="s">
        <v>39</v>
      </c>
      <c r="X5" s="20" t="s">
        <v>38</v>
      </c>
      <c r="Y5" s="8"/>
      <c r="Z5" s="8"/>
      <c r="AA5" s="8"/>
      <c r="AB5" s="8"/>
      <c r="AC5" s="8"/>
      <c r="AD5" s="8"/>
    </row>
    <row r="6" spans="1:30" x14ac:dyDescent="0.25">
      <c r="A6" t="s">
        <v>9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6">
        <f>+(H6-G6)*(F6-D6)</f>
        <v>100000</v>
      </c>
      <c r="J6" s="22">
        <f>+I6*$C6/($I6+$Q6)</f>
        <v>5000000</v>
      </c>
      <c r="K6" s="6">
        <f>IF((H6-G6)&gt;0,J6/((H6-G6)*B6),0)</f>
        <v>250</v>
      </c>
      <c r="L6" s="23">
        <f t="shared" ref="L6:L12" si="0">WACC/(1-(1+WACC)^-(F6-D6))</f>
        <v>4.6550200449541529E-2</v>
      </c>
      <c r="M6" s="23">
        <f t="shared" ref="M6:M12" si="1">Overheads*(F6-D6)/50</f>
        <v>1.7999999999999999E-2</v>
      </c>
      <c r="N6" s="6">
        <f>+K6*(L6+M6)</f>
        <v>16.137550112385384</v>
      </c>
      <c r="O6" s="6">
        <f>+B6*I6</f>
        <v>1000000</v>
      </c>
      <c r="P6" s="6">
        <f>+B6*I6*N6</f>
        <v>16137550.112385383</v>
      </c>
      <c r="Q6" s="21">
        <f>+(F6-E6)*G6</f>
        <v>0</v>
      </c>
      <c r="R6" s="22">
        <f>+Q6*$C6/($I6+$Q6)</f>
        <v>0</v>
      </c>
      <c r="S6" s="6">
        <f>IF(G6&gt;0,+R6/(G6*B6),0)</f>
        <v>0</v>
      </c>
      <c r="T6" s="23">
        <f t="shared" ref="T6:T12" si="2">IF((F6-E6)&gt;0,WACC/(1-(1+WACC)^-(F6-E6)),0)</f>
        <v>4.6550200449541529E-2</v>
      </c>
      <c r="U6" s="23">
        <f t="shared" ref="U6:U12" si="3">Overheads*(F6-E6)/50</f>
        <v>1.7999999999999999E-2</v>
      </c>
      <c r="V6" s="32">
        <f>S6*(T6+U6)</f>
        <v>0</v>
      </c>
      <c r="W6" s="22">
        <f>$B6*Q6</f>
        <v>0</v>
      </c>
      <c r="X6" s="24">
        <f>$B6*Q6*V6</f>
        <v>0</v>
      </c>
      <c r="Z6" s="4"/>
    </row>
    <row r="7" spans="1:30" x14ac:dyDescent="0.25">
      <c r="A7" t="s">
        <v>31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6">
        <f t="shared" ref="I7:I12" si="4">+(H7-G7)*(F7-D7)</f>
        <v>125000</v>
      </c>
      <c r="J7" s="22">
        <f t="shared" ref="J7:J12" si="5">+I7*$C7/($I7+$Q7)</f>
        <v>11000000</v>
      </c>
      <c r="K7" s="6">
        <f t="shared" ref="K7:K12" si="6">IF((H7-G7)&gt;0,J7/((H7-G7)*B7),0)</f>
        <v>220</v>
      </c>
      <c r="L7" s="23">
        <f t="shared" si="0"/>
        <v>4.6550200449541529E-2</v>
      </c>
      <c r="M7" s="23">
        <f t="shared" si="1"/>
        <v>1.7999999999999999E-2</v>
      </c>
      <c r="N7" s="6">
        <f t="shared" ref="N7:N12" si="7">+K7*(L7+M7)</f>
        <v>14.201044098899137</v>
      </c>
      <c r="O7" s="6">
        <f t="shared" ref="O7:O12" si="8">+B7*I7</f>
        <v>2500000</v>
      </c>
      <c r="P7" s="6">
        <f t="shared" ref="P7:P12" si="9">+B7*I7*N7</f>
        <v>35502610.247247845</v>
      </c>
      <c r="Q7" s="21">
        <f t="shared" ref="Q7:Q12" si="10">+(F7-E7)*G7</f>
        <v>0</v>
      </c>
      <c r="R7" s="22">
        <f t="shared" ref="R7:R12" si="11">+Q7*$C7/($I7+$Q7)</f>
        <v>0</v>
      </c>
      <c r="S7" s="6">
        <f t="shared" ref="S7:S12" si="12">IF(G7&gt;0,+R7/(G7*B7),0)</f>
        <v>0</v>
      </c>
      <c r="T7" s="23">
        <f t="shared" si="2"/>
        <v>4.6550200449541529E-2</v>
      </c>
      <c r="U7" s="23">
        <f t="shared" si="3"/>
        <v>1.7999999999999999E-2</v>
      </c>
      <c r="V7" s="32">
        <f t="shared" ref="V7:V11" si="13">S7*(T7+U7)</f>
        <v>0</v>
      </c>
      <c r="W7" s="22">
        <f t="shared" ref="W7:W12" si="14">$B7*Q7</f>
        <v>0</v>
      </c>
      <c r="X7" s="24">
        <f t="shared" ref="X7:X12" si="15">$B7*Q7*V7</f>
        <v>0</v>
      </c>
      <c r="Z7" s="4"/>
    </row>
    <row r="8" spans="1:30" x14ac:dyDescent="0.25">
      <c r="A8" t="s">
        <v>10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6">
        <f t="shared" si="4"/>
        <v>135000</v>
      </c>
      <c r="J8" s="22">
        <f t="shared" si="5"/>
        <v>8625000</v>
      </c>
      <c r="K8" s="6">
        <f t="shared" si="6"/>
        <v>212.96296296296296</v>
      </c>
      <c r="L8" s="23">
        <f t="shared" si="0"/>
        <v>4.6550200449541529E-2</v>
      </c>
      <c r="M8" s="23">
        <f t="shared" si="1"/>
        <v>1.7999999999999999E-2</v>
      </c>
      <c r="N8" s="6">
        <f t="shared" si="7"/>
        <v>13.746801947587548</v>
      </c>
      <c r="O8" s="6">
        <f t="shared" si="8"/>
        <v>2025000</v>
      </c>
      <c r="P8" s="6">
        <f t="shared" si="9"/>
        <v>27837273.943864785</v>
      </c>
      <c r="Q8" s="21">
        <f t="shared" si="10"/>
        <v>0</v>
      </c>
      <c r="R8" s="22">
        <f t="shared" si="11"/>
        <v>0</v>
      </c>
      <c r="S8" s="6">
        <f t="shared" si="12"/>
        <v>0</v>
      </c>
      <c r="T8" s="23">
        <f t="shared" si="2"/>
        <v>4.6550200449541529E-2</v>
      </c>
      <c r="U8" s="23">
        <f t="shared" si="3"/>
        <v>1.7999999999999999E-2</v>
      </c>
      <c r="V8" s="32">
        <f t="shared" si="13"/>
        <v>0</v>
      </c>
      <c r="W8" s="22">
        <f t="shared" si="14"/>
        <v>0</v>
      </c>
      <c r="X8" s="24">
        <f t="shared" si="15"/>
        <v>0</v>
      </c>
      <c r="Z8" s="4"/>
    </row>
    <row r="9" spans="1:30" x14ac:dyDescent="0.25">
      <c r="A9" t="s">
        <v>11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6">
        <f t="shared" si="4"/>
        <v>156000</v>
      </c>
      <c r="J9" s="22">
        <f t="shared" si="5"/>
        <v>52500000</v>
      </c>
      <c r="K9" s="6">
        <f t="shared" si="6"/>
        <v>224.35897435897436</v>
      </c>
      <c r="L9" s="23">
        <f t="shared" si="0"/>
        <v>4.6550200449541529E-2</v>
      </c>
      <c r="M9" s="23">
        <f t="shared" si="1"/>
        <v>1.7999999999999999E-2</v>
      </c>
      <c r="N9" s="6">
        <f t="shared" si="7"/>
        <v>14.482416767525343</v>
      </c>
      <c r="O9" s="6">
        <f t="shared" si="8"/>
        <v>11700000</v>
      </c>
      <c r="P9" s="6">
        <f t="shared" si="9"/>
        <v>169444276.18004653</v>
      </c>
      <c r="Q9" s="21">
        <f t="shared" si="10"/>
        <v>0</v>
      </c>
      <c r="R9" s="22">
        <f t="shared" si="11"/>
        <v>0</v>
      </c>
      <c r="S9" s="6">
        <f t="shared" si="12"/>
        <v>0</v>
      </c>
      <c r="T9" s="23">
        <f t="shared" si="2"/>
        <v>4.6550200449541529E-2</v>
      </c>
      <c r="U9" s="23">
        <f t="shared" si="3"/>
        <v>1.7999999999999999E-2</v>
      </c>
      <c r="V9" s="32">
        <f t="shared" si="13"/>
        <v>0</v>
      </c>
      <c r="W9" s="22">
        <f t="shared" si="14"/>
        <v>0</v>
      </c>
      <c r="X9" s="24">
        <f t="shared" si="15"/>
        <v>0</v>
      </c>
      <c r="Z9" s="4"/>
    </row>
    <row r="10" spans="1:30" x14ac:dyDescent="0.25">
      <c r="A10" t="s">
        <v>12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6">
        <f t="shared" si="4"/>
        <v>10000</v>
      </c>
      <c r="J10" s="22">
        <f t="shared" si="5"/>
        <v>18750000</v>
      </c>
      <c r="K10" s="6">
        <f t="shared" si="6"/>
        <v>500</v>
      </c>
      <c r="L10" s="23">
        <f t="shared" si="0"/>
        <v>7.3581750328628834E-2</v>
      </c>
      <c r="M10" s="23">
        <f t="shared" si="1"/>
        <v>7.1999999999999998E-3</v>
      </c>
      <c r="N10" s="6">
        <f t="shared" si="7"/>
        <v>40.390875164314416</v>
      </c>
      <c r="O10" s="6">
        <f t="shared" si="8"/>
        <v>750000</v>
      </c>
      <c r="P10" s="6">
        <f t="shared" si="9"/>
        <v>30293156.373235811</v>
      </c>
      <c r="Q10" s="21">
        <f t="shared" si="10"/>
        <v>0</v>
      </c>
      <c r="R10" s="22">
        <f t="shared" si="11"/>
        <v>0</v>
      </c>
      <c r="S10" s="6">
        <f t="shared" si="12"/>
        <v>0</v>
      </c>
      <c r="T10" s="23">
        <f t="shared" si="2"/>
        <v>0</v>
      </c>
      <c r="U10" s="23">
        <f t="shared" si="3"/>
        <v>0</v>
      </c>
      <c r="V10" s="32">
        <f t="shared" si="13"/>
        <v>0</v>
      </c>
      <c r="W10" s="22">
        <f t="shared" si="14"/>
        <v>0</v>
      </c>
      <c r="X10" s="24">
        <f t="shared" si="15"/>
        <v>0</v>
      </c>
      <c r="Z10" s="4"/>
    </row>
    <row r="11" spans="1:30" x14ac:dyDescent="0.25">
      <c r="A11" t="s">
        <v>13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6">
        <f t="shared" si="4"/>
        <v>0</v>
      </c>
      <c r="J11" s="22">
        <f t="shared" si="5"/>
        <v>0</v>
      </c>
      <c r="K11" s="6">
        <f t="shared" si="6"/>
        <v>0</v>
      </c>
      <c r="L11" s="23">
        <f t="shared" si="0"/>
        <v>5.78300991336613E-2</v>
      </c>
      <c r="M11" s="23">
        <f t="shared" si="1"/>
        <v>1.0799999999999999E-2</v>
      </c>
      <c r="N11" s="6">
        <f t="shared" si="7"/>
        <v>0</v>
      </c>
      <c r="O11" s="6">
        <f t="shared" si="8"/>
        <v>0</v>
      </c>
      <c r="P11" s="6">
        <f t="shared" si="9"/>
        <v>0</v>
      </c>
      <c r="Q11" s="21">
        <f t="shared" si="10"/>
        <v>35000</v>
      </c>
      <c r="R11" s="22">
        <f t="shared" si="11"/>
        <v>7500000</v>
      </c>
      <c r="S11" s="6">
        <f t="shared" si="12"/>
        <v>85.714285714285708</v>
      </c>
      <c r="T11" s="23">
        <f t="shared" si="2"/>
        <v>7.3581750328628834E-2</v>
      </c>
      <c r="U11" s="23">
        <f t="shared" si="3"/>
        <v>7.1999999999999998E-3</v>
      </c>
      <c r="V11" s="32">
        <f t="shared" si="13"/>
        <v>6.9241500281681851</v>
      </c>
      <c r="W11" s="22">
        <f t="shared" si="14"/>
        <v>1750000</v>
      </c>
      <c r="X11" s="24">
        <f>$B11*Q11*V11</f>
        <v>12117262.549294325</v>
      </c>
      <c r="Z11" s="4"/>
    </row>
    <row r="12" spans="1:30" x14ac:dyDescent="0.25">
      <c r="A12" t="s">
        <v>14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6">
        <f t="shared" si="4"/>
        <v>10000</v>
      </c>
      <c r="J12" s="22">
        <f t="shared" si="5"/>
        <v>9423076.9230769239</v>
      </c>
      <c r="K12" s="6">
        <f t="shared" si="6"/>
        <v>67.307692307692321</v>
      </c>
      <c r="L12" s="23">
        <f t="shared" si="0"/>
        <v>6.401196278645456E-2</v>
      </c>
      <c r="M12" s="23">
        <f t="shared" si="1"/>
        <v>8.9999999999999993E-3</v>
      </c>
      <c r="N12" s="6">
        <f t="shared" si="7"/>
        <v>4.9142667260113653</v>
      </c>
      <c r="O12" s="6">
        <f t="shared" si="8"/>
        <v>3500000</v>
      </c>
      <c r="P12" s="6">
        <f t="shared" si="9"/>
        <v>17199933.54103978</v>
      </c>
      <c r="Q12" s="21">
        <f t="shared" si="10"/>
        <v>55000</v>
      </c>
      <c r="R12" s="22">
        <f t="shared" si="11"/>
        <v>51826923.07692308</v>
      </c>
      <c r="S12" s="6">
        <f t="shared" si="12"/>
        <v>53.846153846153847</v>
      </c>
      <c r="T12" s="23">
        <f t="shared" si="2"/>
        <v>7.3581750328628834E-2</v>
      </c>
      <c r="U12" s="23">
        <f t="shared" si="3"/>
        <v>7.1999999999999998E-3</v>
      </c>
      <c r="V12" s="32">
        <f>S12*(T12+U12)</f>
        <v>4.3497865561569373</v>
      </c>
      <c r="W12" s="22">
        <f t="shared" si="14"/>
        <v>19250000</v>
      </c>
      <c r="X12" s="24">
        <f t="shared" si="15"/>
        <v>83733391.206021041</v>
      </c>
      <c r="Z12" s="4"/>
    </row>
    <row r="14" spans="1:30" x14ac:dyDescent="0.25">
      <c r="B14" s="42"/>
      <c r="C14" s="42"/>
    </row>
    <row r="15" spans="1:30" x14ac:dyDescent="0.25">
      <c r="B15" s="42"/>
      <c r="C15" s="42"/>
      <c r="V15" s="4" t="s">
        <v>30</v>
      </c>
      <c r="W15" s="4">
        <f>SUM(W6:W12,O6:O12)</f>
        <v>42475000</v>
      </c>
      <c r="X15" s="4">
        <f>SUM(X6:X12,P6:P12)</f>
        <v>392265454.15313548</v>
      </c>
    </row>
    <row r="16" spans="1:30" x14ac:dyDescent="0.25">
      <c r="B16" s="43"/>
      <c r="C16" s="44"/>
      <c r="V16" s="1" t="s">
        <v>6</v>
      </c>
      <c r="X16" s="45">
        <f>X15/W15</f>
        <v>9.2352078670543953</v>
      </c>
    </row>
    <row r="17" spans="2:3" x14ac:dyDescent="0.25">
      <c r="B17" s="42"/>
      <c r="C17" s="42"/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D77A8-7FBA-434E-82B4-3CE2A42314D1}">
  <dimension ref="B2:C3"/>
  <sheetViews>
    <sheetView workbookViewId="0">
      <selection activeCell="C2" sqref="C2"/>
    </sheetView>
  </sheetViews>
  <sheetFormatPr defaultRowHeight="15" x14ac:dyDescent="0.25"/>
  <cols>
    <col min="2" max="2" width="10.5703125" bestFit="1" customWidth="1"/>
  </cols>
  <sheetData>
    <row r="2" spans="2:3" x14ac:dyDescent="0.25">
      <c r="B2" t="s">
        <v>20</v>
      </c>
      <c r="C2" s="2">
        <v>0.04</v>
      </c>
    </row>
    <row r="3" spans="2:3" x14ac:dyDescent="0.25">
      <c r="B3" t="s">
        <v>21</v>
      </c>
      <c r="C3" s="2">
        <v>1.7999999999999999E-2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E9ED12-E0E0-42AD-9558-84614309C982}"/>
</file>

<file path=customXml/itemProps2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MWkm weighting</vt:lpstr>
      <vt:lpstr>MW.km.years weighting</vt:lpstr>
      <vt:lpstr>MW.km.years asset life</vt:lpstr>
      <vt:lpstr>CMP 315 Original</vt:lpstr>
      <vt:lpstr>Rectangles</vt:lpstr>
      <vt:lpstr>Constants</vt:lpstr>
      <vt:lpstr>Assumed_Asset_Life__years</vt:lpstr>
      <vt:lpstr>'MW.km.years asset life'!MEA_Cost</vt:lpstr>
      <vt:lpstr>'MW.km.years weighting'!MEA_Cost</vt:lpstr>
      <vt:lpstr>MEA_Cost</vt:lpstr>
      <vt:lpstr>MEA_Cost2</vt:lpstr>
      <vt:lpstr>Overheads</vt:lpstr>
      <vt:lpstr>WACC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Nick Sillito</cp:lastModifiedBy>
  <cp:lastPrinted>2022-09-19T09:01:28Z</cp:lastPrinted>
  <dcterms:created xsi:type="dcterms:W3CDTF">2022-06-10T07:33:58Z</dcterms:created>
  <dcterms:modified xsi:type="dcterms:W3CDTF">2022-10-31T15:27:43Z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0x0101002E542F9EDAB62B4B85130B33886C4CB3</vt:lpwstr>
  </property>
  <property fmtid="{D5CDD505-2E9C-101B-9397-08002B2CF9AE}" pid="3" name="MediaServiceImageTags">
    <vt:lpwstr/>
  </property>
</Properties>
</file>